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userName="s349016" algorithmName="SHA-512" hashValue="nRBZyLL8S97zDCowp+sXEbVY1lkyHMafcH49c2nt5tWe+HkDjYTMBfIcLFBUgmFuaX8qGPB6MACLYO3pW5E6YA==" saltValue="oySW1Db8QyKEZ5s7cIz58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Transco_OKTCo_SWTCo\Filed Documents\"/>
    </mc:Choice>
  </mc:AlternateContent>
  <xr:revisionPtr revIDLastSave="0" documentId="13_ncr:10001_{CA39F6BC-46A4-4C02-954A-E6C9528F94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Instructions!$A$1:$Q$19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J38" i="29" l="1"/>
  <c r="J34" i="29"/>
  <c r="J39" i="29" l="1"/>
  <c r="L3" i="18" l="1"/>
  <c r="H209" i="18"/>
  <c r="H23" i="18" l="1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30" i="18"/>
  <c r="H34" i="18"/>
  <c r="H38" i="18"/>
  <c r="H50" i="18"/>
  <c r="H58" i="18"/>
  <c r="H66" i="18"/>
  <c r="H78" i="18"/>
  <c r="H86" i="18"/>
  <c r="H94" i="18"/>
  <c r="H106" i="18"/>
  <c r="H114" i="18"/>
  <c r="H122" i="18"/>
  <c r="H134" i="18"/>
  <c r="H142" i="18"/>
  <c r="H150" i="18"/>
  <c r="H154" i="18"/>
  <c r="H166" i="18"/>
  <c r="H178" i="18"/>
  <c r="H186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2" i="18"/>
  <c r="H26" i="18"/>
  <c r="H42" i="18"/>
  <c r="H46" i="18"/>
  <c r="H54" i="18"/>
  <c r="H62" i="18"/>
  <c r="H70" i="18"/>
  <c r="H74" i="18"/>
  <c r="H82" i="18"/>
  <c r="H90" i="18"/>
  <c r="H98" i="18"/>
  <c r="H102" i="18"/>
  <c r="H110" i="18"/>
  <c r="H118" i="18"/>
  <c r="H126" i="18"/>
  <c r="H130" i="18"/>
  <c r="H138" i="18"/>
  <c r="H146" i="18"/>
  <c r="H158" i="18"/>
  <c r="H162" i="18"/>
  <c r="H170" i="18"/>
  <c r="H174" i="18"/>
  <c r="H182" i="18"/>
  <c r="H190" i="18"/>
  <c r="H194" i="18"/>
  <c r="H198" i="18"/>
  <c r="H202" i="18"/>
  <c r="H210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K1" i="18" l="1"/>
  <c r="O13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B31" i="18"/>
  <c r="D42" i="18"/>
  <c r="B30" i="18"/>
  <c r="D41" i="18"/>
  <c r="D65" i="18" s="1"/>
  <c r="B29" i="18"/>
  <c r="B28" i="18"/>
  <c r="C39" i="18"/>
  <c r="C51" i="18" s="1"/>
  <c r="D39" i="18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67" i="18" s="1"/>
  <c r="C79" i="18" s="1"/>
  <c r="C55" i="18"/>
  <c r="B175" i="18"/>
  <c r="B174" i="18"/>
  <c r="B173" i="18"/>
  <c r="B172" i="18"/>
  <c r="B171" i="18"/>
  <c r="C38" i="18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C68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48" i="18"/>
  <c r="C40" i="18"/>
  <c r="C52" i="18" s="1"/>
  <c r="D35" i="18"/>
  <c r="D47" i="18" s="1"/>
  <c r="D37" i="18"/>
  <c r="D61" i="18" s="1"/>
  <c r="D40" i="18"/>
  <c r="D64" i="18" s="1"/>
  <c r="D76" i="18" s="1"/>
  <c r="D33" i="18"/>
  <c r="D45" i="18" s="1"/>
  <c r="D34" i="18"/>
  <c r="D58" i="18" s="1"/>
  <c r="C57" i="18"/>
  <c r="C81" i="18" s="1"/>
  <c r="C93" i="18" s="1"/>
  <c r="C105" i="18" s="1"/>
  <c r="C117" i="18" s="1"/>
  <c r="C129" i="18" s="1"/>
  <c r="C141" i="18" s="1"/>
  <c r="C153" i="18" s="1"/>
  <c r="E25" i="29"/>
  <c r="H30" i="29"/>
  <c r="G27" i="29"/>
  <c r="H37" i="29"/>
  <c r="H35" i="29"/>
  <c r="E35" i="29"/>
  <c r="H28" i="29"/>
  <c r="D30" i="29"/>
  <c r="H33" i="29"/>
  <c r="G37" i="29"/>
  <c r="G22" i="29"/>
  <c r="G26" i="29"/>
  <c r="E22" i="29"/>
  <c r="H29" i="29"/>
  <c r="H36" i="29"/>
  <c r="D37" i="29"/>
  <c r="H32" i="29"/>
  <c r="E23" i="29"/>
  <c r="G33" i="29"/>
  <c r="H23" i="29"/>
  <c r="H26" i="29"/>
  <c r="D29" i="29"/>
  <c r="G36" i="29"/>
  <c r="H21" i="29"/>
  <c r="G32" i="29"/>
  <c r="E30" i="29"/>
  <c r="E32" i="29"/>
  <c r="H27" i="29"/>
  <c r="E28" i="29"/>
  <c r="H25" i="29"/>
  <c r="E24" i="29"/>
  <c r="H31" i="29"/>
  <c r="E36" i="29"/>
  <c r="G29" i="29"/>
  <c r="G24" i="29"/>
  <c r="G21" i="29"/>
  <c r="G25" i="29"/>
  <c r="G35" i="29"/>
  <c r="H22" i="29"/>
  <c r="H24" i="29"/>
  <c r="E31" i="29"/>
  <c r="G31" i="29"/>
  <c r="E33" i="29"/>
  <c r="E37" i="29"/>
  <c r="E27" i="29"/>
  <c r="G23" i="29"/>
  <c r="E26" i="29"/>
  <c r="E29" i="29"/>
  <c r="G30" i="29"/>
  <c r="G28" i="29"/>
  <c r="E21" i="29"/>
  <c r="C58" i="18" l="1"/>
  <c r="C63" i="18"/>
  <c r="D52" i="18"/>
  <c r="C44" i="18"/>
  <c r="D56" i="18"/>
  <c r="D68" i="18" s="1"/>
  <c r="C69" i="18"/>
  <c r="D53" i="18"/>
  <c r="D49" i="18"/>
  <c r="D59" i="18"/>
  <c r="C66" i="18"/>
  <c r="C64" i="18"/>
  <c r="C88" i="18" s="1"/>
  <c r="C100" i="18" s="1"/>
  <c r="C112" i="18" s="1"/>
  <c r="C124" i="18" s="1"/>
  <c r="C136" i="18" s="1"/>
  <c r="C148" i="18" s="1"/>
  <c r="C160" i="18" s="1"/>
  <c r="C172" i="18" s="1"/>
  <c r="D60" i="18"/>
  <c r="D62" i="18"/>
  <c r="D86" i="18" s="1"/>
  <c r="D98" i="18" s="1"/>
  <c r="D110" i="18" s="1"/>
  <c r="D122" i="18" s="1"/>
  <c r="D134" i="18" s="1"/>
  <c r="D146" i="18" s="1"/>
  <c r="D158" i="18" s="1"/>
  <c r="D182" i="18" s="1"/>
  <c r="D194" i="18" s="1"/>
  <c r="D206" i="18" s="1"/>
  <c r="C61" i="18"/>
  <c r="C73" i="18" s="1"/>
  <c r="D57" i="18"/>
  <c r="D46" i="18"/>
  <c r="D85" i="18"/>
  <c r="D97" i="18" s="1"/>
  <c r="D109" i="18" s="1"/>
  <c r="D121" i="18" s="1"/>
  <c r="D133" i="18" s="1"/>
  <c r="D145" i="18" s="1"/>
  <c r="D157" i="18" s="1"/>
  <c r="D181" i="18" s="1"/>
  <c r="D193" i="18" s="1"/>
  <c r="D205" i="18" s="1"/>
  <c r="D73" i="18"/>
  <c r="D70" i="18"/>
  <c r="D82" i="18"/>
  <c r="D94" i="18" s="1"/>
  <c r="D106" i="18" s="1"/>
  <c r="D118" i="18" s="1"/>
  <c r="D130" i="18" s="1"/>
  <c r="D142" i="18" s="1"/>
  <c r="D154" i="18" s="1"/>
  <c r="D166" i="18" s="1"/>
  <c r="C72" i="18"/>
  <c r="C84" i="18"/>
  <c r="C96" i="18" s="1"/>
  <c r="C108" i="18" s="1"/>
  <c r="C120" i="18" s="1"/>
  <c r="C132" i="18" s="1"/>
  <c r="C144" i="18" s="1"/>
  <c r="C156" i="18" s="1"/>
  <c r="C168" i="18" s="1"/>
  <c r="D175" i="18"/>
  <c r="D187" i="18"/>
  <c r="D199" i="18" s="1"/>
  <c r="D211" i="18" s="1"/>
  <c r="C80" i="18"/>
  <c r="C92" i="18" s="1"/>
  <c r="C104" i="18" s="1"/>
  <c r="C116" i="18" s="1"/>
  <c r="C128" i="18" s="1"/>
  <c r="C140" i="18" s="1"/>
  <c r="C152" i="18" s="1"/>
  <c r="C176" i="18" s="1"/>
  <c r="C188" i="18" s="1"/>
  <c r="C200" i="18" s="1"/>
  <c r="D88" i="18"/>
  <c r="D100" i="18" s="1"/>
  <c r="D112" i="18" s="1"/>
  <c r="D124" i="18" s="1"/>
  <c r="D136" i="18" s="1"/>
  <c r="D148" i="18" s="1"/>
  <c r="D160" i="18" s="1"/>
  <c r="D172" i="18" s="1"/>
  <c r="D55" i="18"/>
  <c r="D79" i="18"/>
  <c r="C53" i="18"/>
  <c r="H38" i="29"/>
  <c r="F30" i="29"/>
  <c r="I30" i="29" s="1"/>
  <c r="K30" i="29" s="1"/>
  <c r="H34" i="29"/>
  <c r="G34" i="29"/>
  <c r="G38" i="29"/>
  <c r="F29" i="29"/>
  <c r="I29" i="29" s="1"/>
  <c r="K29" i="29" s="1"/>
  <c r="E34" i="29"/>
  <c r="F37" i="29"/>
  <c r="I37" i="29" s="1"/>
  <c r="K37" i="29" s="1"/>
  <c r="E38" i="29"/>
  <c r="C177" i="18"/>
  <c r="C189" i="18" s="1"/>
  <c r="C201" i="18" s="1"/>
  <c r="C165" i="18"/>
  <c r="G212" i="18"/>
  <c r="D169" i="18"/>
  <c r="C47" i="18"/>
  <c r="C59" i="18"/>
  <c r="C62" i="18"/>
  <c r="C50" i="18"/>
  <c r="E10" i="29"/>
  <c r="D20" i="29"/>
  <c r="E20" i="29"/>
  <c r="C3" i="29"/>
  <c r="F10" i="29"/>
  <c r="C78" i="18"/>
  <c r="C90" i="18"/>
  <c r="C102" i="18" s="1"/>
  <c r="C114" i="18" s="1"/>
  <c r="C126" i="18" s="1"/>
  <c r="C138" i="18" s="1"/>
  <c r="C150" i="18" s="1"/>
  <c r="C162" i="18" s="1"/>
  <c r="C89" i="18"/>
  <c r="C101" i="18" s="1"/>
  <c r="C113" i="18" s="1"/>
  <c r="C125" i="18" s="1"/>
  <c r="C137" i="18" s="1"/>
  <c r="C149" i="18" s="1"/>
  <c r="C161" i="18" s="1"/>
  <c r="C77" i="18"/>
  <c r="D54" i="18"/>
  <c r="D66" i="18"/>
  <c r="D51" i="18"/>
  <c r="D63" i="18"/>
  <c r="D77" i="18"/>
  <c r="D89" i="18"/>
  <c r="D101" i="18" s="1"/>
  <c r="D113" i="18" s="1"/>
  <c r="D125" i="18" s="1"/>
  <c r="D137" i="18" s="1"/>
  <c r="D149" i="18" s="1"/>
  <c r="D161" i="18" s="1"/>
  <c r="O14" i="18"/>
  <c r="C91" i="18"/>
  <c r="C103" i="18" s="1"/>
  <c r="C115" i="18" s="1"/>
  <c r="C127" i="18" s="1"/>
  <c r="C139" i="18" s="1"/>
  <c r="C151" i="18" s="1"/>
  <c r="C163" i="18" s="1"/>
  <c r="D23" i="29"/>
  <c r="D25" i="29"/>
  <c r="D27" i="29"/>
  <c r="D33" i="29"/>
  <c r="D22" i="29"/>
  <c r="D24" i="29"/>
  <c r="D21" i="29"/>
  <c r="D35" i="29"/>
  <c r="D36" i="29"/>
  <c r="D28" i="29"/>
  <c r="D31" i="29"/>
  <c r="D26" i="29"/>
  <c r="D32" i="29"/>
  <c r="D170" i="18" l="1"/>
  <c r="C85" i="18"/>
  <c r="C97" i="18" s="1"/>
  <c r="C109" i="18" s="1"/>
  <c r="C121" i="18" s="1"/>
  <c r="C133" i="18" s="1"/>
  <c r="C145" i="18" s="1"/>
  <c r="C157" i="18" s="1"/>
  <c r="D80" i="18"/>
  <c r="D92" i="18" s="1"/>
  <c r="D104" i="18" s="1"/>
  <c r="D116" i="18" s="1"/>
  <c r="D128" i="18" s="1"/>
  <c r="D140" i="18" s="1"/>
  <c r="D152" i="18" s="1"/>
  <c r="D164" i="18" s="1"/>
  <c r="F32" i="29"/>
  <c r="I32" i="29" s="1"/>
  <c r="K32" i="29" s="1"/>
  <c r="F35" i="29"/>
  <c r="I35" i="29" s="1"/>
  <c r="D38" i="29"/>
  <c r="F27" i="29"/>
  <c r="I27" i="29" s="1"/>
  <c r="K27" i="29" s="1"/>
  <c r="F26" i="29"/>
  <c r="I26" i="29" s="1"/>
  <c r="K26" i="29" s="1"/>
  <c r="F22" i="29"/>
  <c r="I22" i="29" s="1"/>
  <c r="K22" i="29" s="1"/>
  <c r="F33" i="29"/>
  <c r="I33" i="29" s="1"/>
  <c r="K33" i="29" s="1"/>
  <c r="F24" i="29"/>
  <c r="I24" i="29" s="1"/>
  <c r="K24" i="29" s="1"/>
  <c r="F21" i="29"/>
  <c r="I21" i="29" s="1"/>
  <c r="D34" i="29"/>
  <c r="D39" i="29" s="1"/>
  <c r="F36" i="29"/>
  <c r="I36" i="29" s="1"/>
  <c r="K36" i="29" s="1"/>
  <c r="F25" i="29"/>
  <c r="I25" i="29" s="1"/>
  <c r="K25" i="29" s="1"/>
  <c r="F28" i="29"/>
  <c r="I28" i="29" s="1"/>
  <c r="K28" i="29" s="1"/>
  <c r="F23" i="29"/>
  <c r="I23" i="29" s="1"/>
  <c r="K23" i="29" s="1"/>
  <c r="F31" i="29"/>
  <c r="I31" i="29" s="1"/>
  <c r="K31" i="29" s="1"/>
  <c r="C70" i="18"/>
  <c r="C82" i="18"/>
  <c r="C94" i="18" s="1"/>
  <c r="C106" i="18" s="1"/>
  <c r="C118" i="18" s="1"/>
  <c r="C130" i="18" s="1"/>
  <c r="C142" i="18" s="1"/>
  <c r="C154" i="18" s="1"/>
  <c r="C75" i="18"/>
  <c r="C87" i="18"/>
  <c r="C99" i="18" s="1"/>
  <c r="C111" i="18" s="1"/>
  <c r="C123" i="18" s="1"/>
  <c r="C135" i="18" s="1"/>
  <c r="C147" i="18" s="1"/>
  <c r="C159" i="18" s="1"/>
  <c r="C184" i="18"/>
  <c r="C196" i="18" s="1"/>
  <c r="C208" i="18" s="1"/>
  <c r="C180" i="18"/>
  <c r="C192" i="18" s="1"/>
  <c r="C204" i="18" s="1"/>
  <c r="D184" i="18"/>
  <c r="D196" i="18" s="1"/>
  <c r="D208" i="18" s="1"/>
  <c r="C76" i="18"/>
  <c r="D71" i="18"/>
  <c r="D83" i="18"/>
  <c r="D95" i="18" s="1"/>
  <c r="D107" i="18" s="1"/>
  <c r="D119" i="18" s="1"/>
  <c r="D131" i="18" s="1"/>
  <c r="D143" i="18" s="1"/>
  <c r="D155" i="18" s="1"/>
  <c r="D176" i="18"/>
  <c r="D188" i="18" s="1"/>
  <c r="D200" i="18" s="1"/>
  <c r="D74" i="18"/>
  <c r="D69" i="18"/>
  <c r="D81" i="18"/>
  <c r="D93" i="18" s="1"/>
  <c r="D105" i="18" s="1"/>
  <c r="D117" i="18" s="1"/>
  <c r="D129" i="18" s="1"/>
  <c r="D141" i="18" s="1"/>
  <c r="D153" i="18" s="1"/>
  <c r="D72" i="18"/>
  <c r="D84" i="18"/>
  <c r="D96" i="18" s="1"/>
  <c r="D108" i="18" s="1"/>
  <c r="D120" i="18" s="1"/>
  <c r="D132" i="18" s="1"/>
  <c r="D144" i="18" s="1"/>
  <c r="D156" i="18" s="1"/>
  <c r="E39" i="29"/>
  <c r="G39" i="29"/>
  <c r="D178" i="18"/>
  <c r="D190" i="18" s="1"/>
  <c r="D202" i="18" s="1"/>
  <c r="C164" i="18"/>
  <c r="C181" i="18"/>
  <c r="C193" i="18" s="1"/>
  <c r="C205" i="18" s="1"/>
  <c r="C169" i="18"/>
  <c r="D87" i="18"/>
  <c r="D99" i="18" s="1"/>
  <c r="D111" i="18" s="1"/>
  <c r="D123" i="18" s="1"/>
  <c r="D135" i="18" s="1"/>
  <c r="D147" i="18" s="1"/>
  <c r="D159" i="18" s="1"/>
  <c r="D75" i="18"/>
  <c r="D173" i="18"/>
  <c r="D185" i="18"/>
  <c r="D197" i="18" s="1"/>
  <c r="D209" i="18" s="1"/>
  <c r="D78" i="18"/>
  <c r="D90" i="18"/>
  <c r="D102" i="18" s="1"/>
  <c r="D114" i="18" s="1"/>
  <c r="D126" i="18" s="1"/>
  <c r="D138" i="18" s="1"/>
  <c r="D150" i="18" s="1"/>
  <c r="D162" i="18" s="1"/>
  <c r="C86" i="18"/>
  <c r="C98" i="18" s="1"/>
  <c r="C110" i="18" s="1"/>
  <c r="C122" i="18" s="1"/>
  <c r="C134" i="18" s="1"/>
  <c r="C146" i="18" s="1"/>
  <c r="C158" i="18" s="1"/>
  <c r="C74" i="18"/>
  <c r="P14" i="18"/>
  <c r="P212" i="18"/>
  <c r="P13" i="18"/>
  <c r="C173" i="18"/>
  <c r="C185" i="18"/>
  <c r="C197" i="18" s="1"/>
  <c r="C209" i="18" s="1"/>
  <c r="C175" i="18"/>
  <c r="C187" i="18"/>
  <c r="C199" i="18" s="1"/>
  <c r="C211" i="18" s="1"/>
  <c r="C186" i="18"/>
  <c r="C198" i="18" s="1"/>
  <c r="C210" i="18" s="1"/>
  <c r="C174" i="18"/>
  <c r="C71" i="18"/>
  <c r="C83" i="18"/>
  <c r="C95" i="18" s="1"/>
  <c r="C107" i="18" s="1"/>
  <c r="C119" i="18" s="1"/>
  <c r="C131" i="18" s="1"/>
  <c r="C143" i="18" s="1"/>
  <c r="C155" i="18" s="1"/>
  <c r="H39" i="29"/>
  <c r="F38" i="29" l="1"/>
  <c r="C183" i="18"/>
  <c r="C195" i="18" s="1"/>
  <c r="C207" i="18" s="1"/>
  <c r="C171" i="18"/>
  <c r="F34" i="29"/>
  <c r="C166" i="18"/>
  <c r="C178" i="18"/>
  <c r="C190" i="18" s="1"/>
  <c r="C202" i="18" s="1"/>
  <c r="D167" i="18"/>
  <c r="D179" i="18"/>
  <c r="D191" i="18" s="1"/>
  <c r="D203" i="18" s="1"/>
  <c r="I38" i="29"/>
  <c r="K38" i="29" s="1"/>
  <c r="K35" i="29"/>
  <c r="I34" i="29"/>
  <c r="K34" i="29" s="1"/>
  <c r="K21" i="29"/>
  <c r="D165" i="18"/>
  <c r="D177" i="18"/>
  <c r="D189" i="18" s="1"/>
  <c r="D201" i="18" s="1"/>
  <c r="D180" i="18"/>
  <c r="D192" i="18" s="1"/>
  <c r="D204" i="18" s="1"/>
  <c r="D168" i="18"/>
  <c r="Q14" i="18"/>
  <c r="Q13" i="18"/>
  <c r="C179" i="18"/>
  <c r="C191" i="18" s="1"/>
  <c r="C203" i="18" s="1"/>
  <c r="C167" i="18"/>
  <c r="C170" i="18"/>
  <c r="C182" i="18"/>
  <c r="C194" i="18" s="1"/>
  <c r="C206" i="18" s="1"/>
  <c r="D171" i="18"/>
  <c r="D183" i="18"/>
  <c r="D195" i="18" s="1"/>
  <c r="D207" i="18" s="1"/>
  <c r="D186" i="18"/>
  <c r="D198" i="18" s="1"/>
  <c r="D210" i="18" s="1"/>
  <c r="D174" i="18"/>
  <c r="F39" i="29" l="1"/>
  <c r="I39" i="29"/>
  <c r="K39" i="29" s="1"/>
  <c r="E11" i="29"/>
  <c r="K20" i="18" l="1"/>
  <c r="K207" i="18"/>
  <c r="K195" i="18"/>
  <c r="K179" i="18"/>
  <c r="K167" i="18"/>
  <c r="K139" i="18"/>
  <c r="K127" i="18"/>
  <c r="K111" i="18"/>
  <c r="K95" i="18"/>
  <c r="K79" i="18"/>
  <c r="K63" i="18"/>
  <c r="K51" i="18"/>
  <c r="K35" i="18"/>
  <c r="K23" i="18"/>
  <c r="K193" i="18"/>
  <c r="K161" i="18"/>
  <c r="K129" i="18"/>
  <c r="K97" i="18"/>
  <c r="K57" i="18"/>
  <c r="K25" i="18"/>
  <c r="K194" i="18"/>
  <c r="K182" i="18"/>
  <c r="K170" i="18"/>
  <c r="K158" i="18"/>
  <c r="K146" i="18"/>
  <c r="K134" i="18"/>
  <c r="K118" i="18"/>
  <c r="K102" i="18"/>
  <c r="K90" i="18"/>
  <c r="K46" i="18"/>
  <c r="K34" i="18"/>
  <c r="K205" i="18"/>
  <c r="K189" i="18"/>
  <c r="K173" i="18"/>
  <c r="K141" i="18"/>
  <c r="K85" i="18"/>
  <c r="K200" i="18"/>
  <c r="K184" i="18"/>
  <c r="K160" i="18"/>
  <c r="K128" i="18"/>
  <c r="K164" i="18"/>
  <c r="K132" i="18"/>
  <c r="K84" i="18"/>
  <c r="K36" i="18"/>
  <c r="K80" i="18"/>
  <c r="K32" i="18"/>
  <c r="K24" i="18"/>
  <c r="K76" i="18"/>
  <c r="K104" i="18"/>
  <c r="K190" i="18"/>
  <c r="K114" i="18"/>
  <c r="K86" i="18"/>
  <c r="K62" i="18"/>
  <c r="K42" i="18"/>
  <c r="K165" i="18"/>
  <c r="K109" i="18"/>
  <c r="K53" i="18"/>
  <c r="K196" i="18"/>
  <c r="K152" i="18"/>
  <c r="K156" i="18"/>
  <c r="K120" i="18"/>
  <c r="K68" i="18"/>
  <c r="K112" i="18"/>
  <c r="K88" i="18"/>
  <c r="K60" i="18"/>
  <c r="E13" i="29"/>
  <c r="K191" i="18"/>
  <c r="K175" i="18"/>
  <c r="K163" i="18"/>
  <c r="K151" i="18"/>
  <c r="K135" i="18"/>
  <c r="K123" i="18"/>
  <c r="K107" i="18"/>
  <c r="K91" i="18"/>
  <c r="K75" i="18"/>
  <c r="K59" i="18"/>
  <c r="K47" i="18"/>
  <c r="K185" i="18"/>
  <c r="K153" i="18"/>
  <c r="K121" i="18"/>
  <c r="K73" i="18"/>
  <c r="K49" i="18"/>
  <c r="K188" i="18"/>
  <c r="K202" i="18"/>
  <c r="K178" i="18"/>
  <c r="K166" i="18"/>
  <c r="K154" i="18"/>
  <c r="K130" i="18"/>
  <c r="K98" i="18"/>
  <c r="K74" i="18"/>
  <c r="K54" i="18"/>
  <c r="K30" i="18"/>
  <c r="K133" i="18"/>
  <c r="K77" i="18"/>
  <c r="K29" i="18"/>
  <c r="K180" i="18"/>
  <c r="K208" i="18"/>
  <c r="K64" i="18"/>
  <c r="K108" i="18"/>
  <c r="K72" i="18"/>
  <c r="K203" i="18"/>
  <c r="K187" i="18"/>
  <c r="K159" i="18"/>
  <c r="K147" i="18"/>
  <c r="K131" i="18"/>
  <c r="K119" i="18"/>
  <c r="K103" i="18"/>
  <c r="K87" i="18"/>
  <c r="K71" i="18"/>
  <c r="K43" i="18"/>
  <c r="K31" i="18"/>
  <c r="K209" i="18"/>
  <c r="K177" i="18"/>
  <c r="K145" i="18"/>
  <c r="K113" i="18"/>
  <c r="K89" i="18"/>
  <c r="K65" i="18"/>
  <c r="K41" i="18"/>
  <c r="K210" i="18"/>
  <c r="K186" i="18"/>
  <c r="K162" i="18"/>
  <c r="K142" i="18"/>
  <c r="K126" i="18"/>
  <c r="K110" i="18"/>
  <c r="K82" i="18"/>
  <c r="K70" i="18"/>
  <c r="K26" i="18"/>
  <c r="K197" i="18"/>
  <c r="K181" i="18"/>
  <c r="K157" i="18"/>
  <c r="K125" i="18"/>
  <c r="K101" i="18"/>
  <c r="K69" i="18"/>
  <c r="K45" i="18"/>
  <c r="K21" i="18"/>
  <c r="K192" i="18"/>
  <c r="K172" i="18"/>
  <c r="K144" i="18"/>
  <c r="K148" i="18"/>
  <c r="K124" i="18"/>
  <c r="K100" i="18"/>
  <c r="K52" i="18"/>
  <c r="K48" i="18"/>
  <c r="K44" i="18"/>
  <c r="K40" i="18"/>
  <c r="K183" i="18"/>
  <c r="K67" i="18"/>
  <c r="K201" i="18"/>
  <c r="K81" i="18"/>
  <c r="K198" i="18"/>
  <c r="K150" i="18"/>
  <c r="K94" i="18"/>
  <c r="K50" i="18"/>
  <c r="K61" i="18"/>
  <c r="K168" i="18"/>
  <c r="K116" i="18"/>
  <c r="K155" i="18"/>
  <c r="K39" i="18"/>
  <c r="K33" i="18"/>
  <c r="K122" i="18"/>
  <c r="K22" i="18"/>
  <c r="K204" i="18"/>
  <c r="K143" i="18"/>
  <c r="K105" i="18"/>
  <c r="K140" i="18"/>
  <c r="K171" i="18"/>
  <c r="K115" i="18"/>
  <c r="K55" i="18"/>
  <c r="K169" i="18"/>
  <c r="K138" i="18"/>
  <c r="K78" i="18"/>
  <c r="K38" i="18"/>
  <c r="K149" i="18"/>
  <c r="K37" i="18"/>
  <c r="K136" i="18"/>
  <c r="K56" i="18"/>
  <c r="K211" i="18"/>
  <c r="K99" i="18"/>
  <c r="K137" i="18"/>
  <c r="K174" i="18"/>
  <c r="K66" i="18"/>
  <c r="K117" i="18"/>
  <c r="K176" i="18"/>
  <c r="K92" i="18"/>
  <c r="K199" i="18"/>
  <c r="K27" i="18"/>
  <c r="K206" i="18"/>
  <c r="K106" i="18"/>
  <c r="K58" i="18"/>
  <c r="K93" i="18"/>
  <c r="K96" i="18"/>
  <c r="K83" i="18"/>
  <c r="K28" i="18"/>
  <c r="K13" i="18" l="1"/>
  <c r="K14" i="18"/>
  <c r="K212" i="18"/>
  <c r="F12" i="29" l="1"/>
  <c r="I117" i="18" l="1"/>
  <c r="J117" i="18" s="1"/>
  <c r="L117" i="18" s="1"/>
  <c r="I49" i="18"/>
  <c r="J49" i="18" s="1"/>
  <c r="L49" i="18" s="1"/>
  <c r="I205" i="18"/>
  <c r="J205" i="18" s="1"/>
  <c r="L205" i="18" s="1"/>
  <c r="I46" i="18"/>
  <c r="J46" i="18" s="1"/>
  <c r="L46" i="18" s="1"/>
  <c r="I108" i="18"/>
  <c r="J108" i="18" s="1"/>
  <c r="L108" i="18" s="1"/>
  <c r="I201" i="18"/>
  <c r="J201" i="18" s="1"/>
  <c r="L201" i="18" s="1"/>
  <c r="I26" i="18"/>
  <c r="J26" i="18" s="1"/>
  <c r="L26" i="18" s="1"/>
  <c r="I179" i="18"/>
  <c r="J179" i="18" s="1"/>
  <c r="L179" i="18" s="1"/>
  <c r="I177" i="18"/>
  <c r="J177" i="18" s="1"/>
  <c r="L177" i="18" s="1"/>
  <c r="I89" i="18"/>
  <c r="J89" i="18" s="1"/>
  <c r="L89" i="18" s="1"/>
  <c r="I168" i="18"/>
  <c r="J168" i="18" s="1"/>
  <c r="L168" i="18" s="1"/>
  <c r="I45" i="18"/>
  <c r="J45" i="18" s="1"/>
  <c r="L45" i="18" s="1"/>
  <c r="I158" i="18"/>
  <c r="J158" i="18" s="1"/>
  <c r="L158" i="18" s="1"/>
  <c r="I136" i="18"/>
  <c r="J136" i="18" s="1"/>
  <c r="L136" i="18" s="1"/>
  <c r="I186" i="18"/>
  <c r="J186" i="18" s="1"/>
  <c r="L186" i="18" s="1"/>
  <c r="I138" i="18"/>
  <c r="J138" i="18" s="1"/>
  <c r="L138" i="18" s="1"/>
  <c r="I120" i="18"/>
  <c r="J120" i="18" s="1"/>
  <c r="L120" i="18" s="1"/>
  <c r="I190" i="18"/>
  <c r="J190" i="18" s="1"/>
  <c r="L190" i="18" s="1"/>
  <c r="I194" i="18"/>
  <c r="J194" i="18" s="1"/>
  <c r="L194" i="18" s="1"/>
  <c r="I133" i="18"/>
  <c r="J133" i="18" s="1"/>
  <c r="L133" i="18" s="1"/>
  <c r="I110" i="18"/>
  <c r="J110" i="18" s="1"/>
  <c r="L110" i="18" s="1"/>
  <c r="I173" i="18"/>
  <c r="J173" i="18" s="1"/>
  <c r="L173" i="18" s="1"/>
  <c r="I116" i="18"/>
  <c r="J116" i="18" s="1"/>
  <c r="L116" i="18" s="1"/>
  <c r="I128" i="18"/>
  <c r="J128" i="18" s="1"/>
  <c r="L128" i="18" s="1"/>
  <c r="I32" i="18"/>
  <c r="J32" i="18" s="1"/>
  <c r="L32" i="18" s="1"/>
  <c r="I192" i="18"/>
  <c r="J192" i="18" s="1"/>
  <c r="L192" i="18" s="1"/>
  <c r="I84" i="18"/>
  <c r="J84" i="18" s="1"/>
  <c r="L84" i="18" s="1"/>
  <c r="I121" i="18"/>
  <c r="J121" i="18" s="1"/>
  <c r="L121" i="18" s="1"/>
  <c r="I62" i="18"/>
  <c r="J62" i="18" s="1"/>
  <c r="L62" i="18" s="1"/>
  <c r="I75" i="18"/>
  <c r="J75" i="18" s="1"/>
  <c r="L75" i="18" s="1"/>
  <c r="I147" i="18"/>
  <c r="J147" i="18" s="1"/>
  <c r="L147" i="18" s="1"/>
  <c r="I176" i="18"/>
  <c r="J176" i="18" s="1"/>
  <c r="L176" i="18" s="1"/>
  <c r="I34" i="18"/>
  <c r="J34" i="18" s="1"/>
  <c r="L34" i="18" s="1"/>
  <c r="I210" i="18"/>
  <c r="J210" i="18" s="1"/>
  <c r="L210" i="18" s="1"/>
  <c r="I27" i="18"/>
  <c r="J27" i="18" s="1"/>
  <c r="L27" i="18" s="1"/>
  <c r="I129" i="18"/>
  <c r="J129" i="18" s="1"/>
  <c r="L129" i="18" s="1"/>
  <c r="I59" i="18"/>
  <c r="J59" i="18" s="1"/>
  <c r="L59" i="18" s="1"/>
  <c r="I154" i="18"/>
  <c r="J154" i="18" s="1"/>
  <c r="L154" i="18" s="1"/>
  <c r="I61" i="18"/>
  <c r="J61" i="18" s="1"/>
  <c r="L61" i="18" s="1"/>
  <c r="I206" i="18"/>
  <c r="J206" i="18" s="1"/>
  <c r="L206" i="18" s="1"/>
  <c r="I188" i="18"/>
  <c r="J188" i="18" s="1"/>
  <c r="L188" i="18" s="1"/>
  <c r="I198" i="18"/>
  <c r="J198" i="18" s="1"/>
  <c r="L198" i="18" s="1"/>
  <c r="I100" i="18"/>
  <c r="J100" i="18" s="1"/>
  <c r="L100" i="18" s="1"/>
  <c r="I141" i="18"/>
  <c r="J141" i="18" s="1"/>
  <c r="L141" i="18" s="1"/>
  <c r="I157" i="18"/>
  <c r="J157" i="18" s="1"/>
  <c r="L157" i="18" s="1"/>
  <c r="I24" i="18"/>
  <c r="J24" i="18" s="1"/>
  <c r="L24" i="18" s="1"/>
  <c r="I51" i="18"/>
  <c r="J51" i="18" s="1"/>
  <c r="L51" i="18" s="1"/>
  <c r="I65" i="18"/>
  <c r="J65" i="18" s="1"/>
  <c r="L65" i="18" s="1"/>
  <c r="I118" i="18"/>
  <c r="J118" i="18" s="1"/>
  <c r="L118" i="18" s="1"/>
  <c r="I29" i="18"/>
  <c r="J29" i="18" s="1"/>
  <c r="L29" i="18" s="1"/>
  <c r="I82" i="18"/>
  <c r="J82" i="18" s="1"/>
  <c r="L82" i="18" s="1"/>
  <c r="I25" i="18"/>
  <c r="J25" i="18" s="1"/>
  <c r="L25" i="18" s="1"/>
  <c r="I91" i="18"/>
  <c r="J91" i="18" s="1"/>
  <c r="L91" i="18" s="1"/>
  <c r="I123" i="18"/>
  <c r="J123" i="18" s="1"/>
  <c r="L123" i="18" s="1"/>
  <c r="I40" i="18"/>
  <c r="J40" i="18" s="1"/>
  <c r="L40" i="18" s="1"/>
  <c r="I96" i="18"/>
  <c r="J96" i="18" s="1"/>
  <c r="L96" i="18" s="1"/>
  <c r="I57" i="18"/>
  <c r="J57" i="18" s="1"/>
  <c r="L57" i="18" s="1"/>
  <c r="I146" i="18"/>
  <c r="J146" i="18" s="1"/>
  <c r="L146" i="18" s="1"/>
  <c r="I185" i="18"/>
  <c r="J185" i="18" s="1"/>
  <c r="L185" i="18" s="1"/>
  <c r="I153" i="18"/>
  <c r="J153" i="18" s="1"/>
  <c r="L153" i="18" s="1"/>
  <c r="I66" i="18"/>
  <c r="J66" i="18" s="1"/>
  <c r="L66" i="18" s="1"/>
  <c r="I77" i="18"/>
  <c r="J77" i="18" s="1"/>
  <c r="L77" i="18" s="1"/>
  <c r="I115" i="18"/>
  <c r="J115" i="18" s="1"/>
  <c r="L115" i="18" s="1"/>
  <c r="I181" i="18"/>
  <c r="J181" i="18" s="1"/>
  <c r="L181" i="18" s="1"/>
  <c r="I55" i="18"/>
  <c r="J55" i="18" s="1"/>
  <c r="L55" i="18" s="1"/>
  <c r="I161" i="18"/>
  <c r="J161" i="18" s="1"/>
  <c r="L161" i="18" s="1"/>
  <c r="I193" i="18"/>
  <c r="J193" i="18" s="1"/>
  <c r="L193" i="18" s="1"/>
  <c r="I197" i="18"/>
  <c r="J197" i="18" s="1"/>
  <c r="L197" i="18" s="1"/>
  <c r="I102" i="18"/>
  <c r="J102" i="18" s="1"/>
  <c r="L102" i="18" s="1"/>
  <c r="I38" i="18"/>
  <c r="J38" i="18" s="1"/>
  <c r="L38" i="18" s="1"/>
  <c r="I81" i="18"/>
  <c r="J81" i="18" s="1"/>
  <c r="L81" i="18" s="1"/>
  <c r="I159" i="18"/>
  <c r="J159" i="18" s="1"/>
  <c r="L159" i="18" s="1"/>
  <c r="I53" i="18"/>
  <c r="J53" i="18" s="1"/>
  <c r="L53" i="18" s="1"/>
  <c r="I169" i="18"/>
  <c r="J169" i="18" s="1"/>
  <c r="L169" i="18" s="1"/>
  <c r="I199" i="18"/>
  <c r="J199" i="18" s="1"/>
  <c r="L199" i="18" s="1"/>
  <c r="I140" i="18"/>
  <c r="J140" i="18" s="1"/>
  <c r="L140" i="18" s="1"/>
  <c r="I64" i="18"/>
  <c r="J64" i="18" s="1"/>
  <c r="L64" i="18" s="1"/>
  <c r="I58" i="18"/>
  <c r="J58" i="18" s="1"/>
  <c r="L58" i="18" s="1"/>
  <c r="I207" i="18"/>
  <c r="J207" i="18" s="1"/>
  <c r="L207" i="18" s="1"/>
  <c r="I111" i="18"/>
  <c r="J111" i="18" s="1"/>
  <c r="L111" i="18" s="1"/>
  <c r="I39" i="18"/>
  <c r="J39" i="18" s="1"/>
  <c r="L39" i="18" s="1"/>
  <c r="I142" i="18"/>
  <c r="J142" i="18" s="1"/>
  <c r="L142" i="18" s="1"/>
  <c r="I28" i="18"/>
  <c r="J28" i="18" s="1"/>
  <c r="L28" i="18" s="1"/>
  <c r="I90" i="18"/>
  <c r="J90" i="18" s="1"/>
  <c r="L90" i="18" s="1"/>
  <c r="I98" i="18"/>
  <c r="J98" i="18" s="1"/>
  <c r="L98" i="18" s="1"/>
  <c r="I152" i="18"/>
  <c r="J152" i="18" s="1"/>
  <c r="L152" i="18" s="1"/>
  <c r="I162" i="18"/>
  <c r="J162" i="18" s="1"/>
  <c r="L162" i="18" s="1"/>
  <c r="I99" i="18"/>
  <c r="J99" i="18" s="1"/>
  <c r="L99" i="18" s="1"/>
  <c r="I70" i="18"/>
  <c r="J70" i="18" s="1"/>
  <c r="L70" i="18" s="1"/>
  <c r="I175" i="18"/>
  <c r="J175" i="18" s="1"/>
  <c r="L175" i="18" s="1"/>
  <c r="I86" i="18"/>
  <c r="J86" i="18" s="1"/>
  <c r="L86" i="18" s="1"/>
  <c r="I182" i="18"/>
  <c r="J182" i="18" s="1"/>
  <c r="L182" i="18" s="1"/>
  <c r="I202" i="18"/>
  <c r="J202" i="18" s="1"/>
  <c r="L202" i="18" s="1"/>
  <c r="I74" i="18"/>
  <c r="J74" i="18" s="1"/>
  <c r="L74" i="18" s="1"/>
  <c r="I60" i="18"/>
  <c r="J60" i="18" s="1"/>
  <c r="L60" i="18" s="1"/>
  <c r="I69" i="18"/>
  <c r="J69" i="18" s="1"/>
  <c r="L69" i="18" s="1"/>
  <c r="I105" i="18"/>
  <c r="J105" i="18" s="1"/>
  <c r="L105" i="18" s="1"/>
  <c r="I20" i="18"/>
  <c r="J20" i="18" s="1"/>
  <c r="I195" i="18"/>
  <c r="J195" i="18" s="1"/>
  <c r="L195" i="18" s="1"/>
  <c r="I104" i="18"/>
  <c r="J104" i="18" s="1"/>
  <c r="L104" i="18" s="1"/>
  <c r="I163" i="18"/>
  <c r="J163" i="18" s="1"/>
  <c r="L163" i="18" s="1"/>
  <c r="I35" i="18"/>
  <c r="J35" i="18" s="1"/>
  <c r="L35" i="18" s="1"/>
  <c r="I114" i="18"/>
  <c r="J114" i="18" s="1"/>
  <c r="L114" i="18" s="1"/>
  <c r="I137" i="18"/>
  <c r="J137" i="18" s="1"/>
  <c r="L137" i="18" s="1"/>
  <c r="I106" i="18"/>
  <c r="J106" i="18" s="1"/>
  <c r="L106" i="18" s="1"/>
  <c r="I119" i="18"/>
  <c r="J119" i="18" s="1"/>
  <c r="L119" i="18" s="1"/>
  <c r="I41" i="18"/>
  <c r="J41" i="18" s="1"/>
  <c r="L41" i="18" s="1"/>
  <c r="I150" i="18"/>
  <c r="J150" i="18" s="1"/>
  <c r="L150" i="18" s="1"/>
  <c r="I109" i="18"/>
  <c r="J109" i="18" s="1"/>
  <c r="L109" i="18" s="1"/>
  <c r="I80" i="18"/>
  <c r="J80" i="18" s="1"/>
  <c r="L80" i="18" s="1"/>
  <c r="I171" i="18"/>
  <c r="J171" i="18" s="1"/>
  <c r="L171" i="18" s="1"/>
  <c r="I203" i="18"/>
  <c r="J203" i="18" s="1"/>
  <c r="L203" i="18" s="1"/>
  <c r="I68" i="18"/>
  <c r="J68" i="18" s="1"/>
  <c r="L68" i="18" s="1"/>
  <c r="I56" i="18"/>
  <c r="J56" i="18" s="1"/>
  <c r="I36" i="18"/>
  <c r="J36" i="18" s="1"/>
  <c r="L36" i="18" s="1"/>
  <c r="I76" i="18"/>
  <c r="J76" i="18" s="1"/>
  <c r="L76" i="18" s="1"/>
  <c r="I155" i="18"/>
  <c r="J155" i="18" s="1"/>
  <c r="L155" i="18" s="1"/>
  <c r="I95" i="18"/>
  <c r="J95" i="18" s="1"/>
  <c r="L95" i="18" s="1"/>
  <c r="I184" i="18"/>
  <c r="J184" i="18" s="1"/>
  <c r="L184" i="18" s="1"/>
  <c r="I139" i="18"/>
  <c r="J139" i="18" s="1"/>
  <c r="L139" i="18" s="1"/>
  <c r="I48" i="18"/>
  <c r="J48" i="18" s="1"/>
  <c r="L48" i="18" s="1"/>
  <c r="I156" i="18"/>
  <c r="J156" i="18" s="1"/>
  <c r="L156" i="18" s="1"/>
  <c r="F14" i="29"/>
  <c r="I63" i="18"/>
  <c r="J63" i="18" s="1"/>
  <c r="L63" i="18" s="1"/>
  <c r="I196" i="18"/>
  <c r="J196" i="18" s="1"/>
  <c r="L196" i="18" s="1"/>
  <c r="I44" i="18"/>
  <c r="J44" i="18" s="1"/>
  <c r="L44" i="18" s="1"/>
  <c r="I21" i="18"/>
  <c r="J21" i="18" s="1"/>
  <c r="L21" i="18" s="1"/>
  <c r="I145" i="18"/>
  <c r="J145" i="18" s="1"/>
  <c r="L145" i="18" s="1"/>
  <c r="I22" i="18"/>
  <c r="J22" i="18" s="1"/>
  <c r="L22" i="18" s="1"/>
  <c r="I94" i="18"/>
  <c r="J94" i="18" s="1"/>
  <c r="L94" i="18" s="1"/>
  <c r="I79" i="18"/>
  <c r="J79" i="18" s="1"/>
  <c r="L79" i="18" s="1"/>
  <c r="I187" i="18"/>
  <c r="J187" i="18" s="1"/>
  <c r="L187" i="18" s="1"/>
  <c r="I183" i="18"/>
  <c r="J183" i="18" s="1"/>
  <c r="L183" i="18" s="1"/>
  <c r="I47" i="18"/>
  <c r="J47" i="18" s="1"/>
  <c r="L47" i="18" s="1"/>
  <c r="I54" i="18"/>
  <c r="J54" i="18" s="1"/>
  <c r="L54" i="18" s="1"/>
  <c r="I103" i="18"/>
  <c r="J103" i="18" s="1"/>
  <c r="L103" i="18" s="1"/>
  <c r="I172" i="18"/>
  <c r="J172" i="18" s="1"/>
  <c r="L172" i="18" s="1"/>
  <c r="I73" i="18"/>
  <c r="J73" i="18" s="1"/>
  <c r="L73" i="18" s="1"/>
  <c r="I130" i="18"/>
  <c r="J130" i="18" s="1"/>
  <c r="L130" i="18" s="1"/>
  <c r="I208" i="18"/>
  <c r="J208" i="18" s="1"/>
  <c r="L208" i="18" s="1"/>
  <c r="I92" i="18"/>
  <c r="J92" i="18" s="1"/>
  <c r="L92" i="18" s="1"/>
  <c r="I134" i="18"/>
  <c r="J134" i="18" s="1"/>
  <c r="L134" i="18" s="1"/>
  <c r="I211" i="18"/>
  <c r="J211" i="18" s="1"/>
  <c r="L211" i="18" s="1"/>
  <c r="I33" i="18"/>
  <c r="J33" i="18" s="1"/>
  <c r="L33" i="18" s="1"/>
  <c r="I178" i="18"/>
  <c r="J178" i="18" s="1"/>
  <c r="L178" i="18" s="1"/>
  <c r="I112" i="18"/>
  <c r="J112" i="18" s="1"/>
  <c r="L112" i="18" s="1"/>
  <c r="I132" i="18"/>
  <c r="J132" i="18" s="1"/>
  <c r="L132" i="18" s="1"/>
  <c r="I191" i="18"/>
  <c r="J191" i="18" s="1"/>
  <c r="L191" i="18" s="1"/>
  <c r="I209" i="18"/>
  <c r="J209" i="18" s="1"/>
  <c r="L209" i="18" s="1"/>
  <c r="I52" i="18"/>
  <c r="J52" i="18" s="1"/>
  <c r="L52" i="18" s="1"/>
  <c r="I148" i="18"/>
  <c r="J148" i="18" s="1"/>
  <c r="L148" i="18" s="1"/>
  <c r="I101" i="18"/>
  <c r="J101" i="18" s="1"/>
  <c r="L101" i="18" s="1"/>
  <c r="I42" i="18"/>
  <c r="J42" i="18" s="1"/>
  <c r="L42" i="18" s="1"/>
  <c r="I131" i="18"/>
  <c r="J131" i="18" s="1"/>
  <c r="L131" i="18" s="1"/>
  <c r="I93" i="18"/>
  <c r="J93" i="18" s="1"/>
  <c r="L93" i="18" s="1"/>
  <c r="I167" i="18"/>
  <c r="J167" i="18" s="1"/>
  <c r="L167" i="18" s="1"/>
  <c r="I127" i="18"/>
  <c r="J127" i="18" s="1"/>
  <c r="L127" i="18" s="1"/>
  <c r="I124" i="18"/>
  <c r="J124" i="18" s="1"/>
  <c r="L124" i="18" s="1"/>
  <c r="I122" i="18"/>
  <c r="J122" i="18" s="1"/>
  <c r="L122" i="18" s="1"/>
  <c r="I37" i="18"/>
  <c r="J37" i="18" s="1"/>
  <c r="L37" i="18" s="1"/>
  <c r="I43" i="18"/>
  <c r="J43" i="18" s="1"/>
  <c r="L43" i="18" s="1"/>
  <c r="I67" i="18"/>
  <c r="J67" i="18" s="1"/>
  <c r="L67" i="18" s="1"/>
  <c r="I165" i="18"/>
  <c r="J165" i="18" s="1"/>
  <c r="L165" i="18" s="1"/>
  <c r="I113" i="18"/>
  <c r="J113" i="18" s="1"/>
  <c r="L113" i="18" s="1"/>
  <c r="I78" i="18"/>
  <c r="J78" i="18" s="1"/>
  <c r="L78" i="18" s="1"/>
  <c r="I189" i="18"/>
  <c r="J189" i="18" s="1"/>
  <c r="L189" i="18" s="1"/>
  <c r="I151" i="18"/>
  <c r="J151" i="18" s="1"/>
  <c r="L151" i="18" s="1"/>
  <c r="I85" i="18"/>
  <c r="J85" i="18" s="1"/>
  <c r="L85" i="18" s="1"/>
  <c r="I149" i="18"/>
  <c r="J149" i="18" s="1"/>
  <c r="L149" i="18" s="1"/>
  <c r="I83" i="18"/>
  <c r="J83" i="18" s="1"/>
  <c r="L83" i="18" s="1"/>
  <c r="I71" i="18"/>
  <c r="J71" i="18" s="1"/>
  <c r="L71" i="18" s="1"/>
  <c r="I87" i="18"/>
  <c r="J87" i="18" s="1"/>
  <c r="L87" i="18" s="1"/>
  <c r="I107" i="18"/>
  <c r="J107" i="18" s="1"/>
  <c r="L107" i="18" s="1"/>
  <c r="I72" i="18"/>
  <c r="J72" i="18" s="1"/>
  <c r="L72" i="18" s="1"/>
  <c r="I50" i="18"/>
  <c r="J50" i="18" s="1"/>
  <c r="L50" i="18" s="1"/>
  <c r="I204" i="18"/>
  <c r="J204" i="18" s="1"/>
  <c r="L204" i="18" s="1"/>
  <c r="I30" i="18"/>
  <c r="J30" i="18" s="1"/>
  <c r="L30" i="18" s="1"/>
  <c r="I97" i="18"/>
  <c r="J97" i="18" s="1"/>
  <c r="L97" i="18" s="1"/>
  <c r="I23" i="18"/>
  <c r="J23" i="18" s="1"/>
  <c r="L23" i="18" s="1"/>
  <c r="I144" i="18"/>
  <c r="J144" i="18" s="1"/>
  <c r="L144" i="18" s="1"/>
  <c r="I200" i="18"/>
  <c r="J200" i="18" s="1"/>
  <c r="L200" i="18" s="1"/>
  <c r="I170" i="18"/>
  <c r="J170" i="18" s="1"/>
  <c r="L170" i="18" s="1"/>
  <c r="I143" i="18"/>
  <c r="J143" i="18" s="1"/>
  <c r="L143" i="18" s="1"/>
  <c r="I126" i="18"/>
  <c r="J126" i="18" s="1"/>
  <c r="L126" i="18" s="1"/>
  <c r="I125" i="18"/>
  <c r="J125" i="18" s="1"/>
  <c r="L125" i="18" s="1"/>
  <c r="I174" i="18"/>
  <c r="J174" i="18" s="1"/>
  <c r="L174" i="18" s="1"/>
  <c r="I135" i="18"/>
  <c r="J135" i="18" s="1"/>
  <c r="L135" i="18" s="1"/>
  <c r="I160" i="18"/>
  <c r="J160" i="18" s="1"/>
  <c r="L160" i="18" s="1"/>
  <c r="I166" i="18"/>
  <c r="J166" i="18" s="1"/>
  <c r="L166" i="18" s="1"/>
  <c r="I88" i="18"/>
  <c r="J88" i="18" s="1"/>
  <c r="L88" i="18" s="1"/>
  <c r="I180" i="18"/>
  <c r="J180" i="18" s="1"/>
  <c r="L180" i="18" s="1"/>
  <c r="I164" i="18"/>
  <c r="J164" i="18" s="1"/>
  <c r="L164" i="18" s="1"/>
  <c r="I31" i="18"/>
  <c r="J31" i="18" s="1"/>
  <c r="L31" i="18" s="1"/>
  <c r="L56" i="18" l="1"/>
  <c r="J13" i="18"/>
  <c r="L20" i="18"/>
  <c r="J212" i="18"/>
  <c r="J14" i="18"/>
  <c r="L212" i="18" l="1"/>
  <c r="L14" i="18"/>
  <c r="L13" i="18"/>
  <c r="M151" i="18" l="1"/>
  <c r="N151" i="18" s="1"/>
  <c r="R151" i="18" s="1"/>
  <c r="M30" i="18"/>
  <c r="N30" i="18" s="1"/>
  <c r="R30" i="18" s="1"/>
  <c r="M116" i="18"/>
  <c r="N116" i="18" s="1"/>
  <c r="R116" i="18" s="1"/>
  <c r="M97" i="18"/>
  <c r="N97" i="18" s="1"/>
  <c r="R97" i="18" s="1"/>
  <c r="M33" i="18"/>
  <c r="N33" i="18" s="1"/>
  <c r="R33" i="18" s="1"/>
  <c r="M28" i="18"/>
  <c r="N28" i="18" s="1"/>
  <c r="R28" i="18" s="1"/>
  <c r="M93" i="18"/>
  <c r="N93" i="18" s="1"/>
  <c r="R93" i="18" s="1"/>
  <c r="M157" i="18"/>
  <c r="N157" i="18" s="1"/>
  <c r="R157" i="18" s="1"/>
  <c r="M73" i="18"/>
  <c r="N73" i="18" s="1"/>
  <c r="R73" i="18" s="1"/>
  <c r="M102" i="18"/>
  <c r="N102" i="18" s="1"/>
  <c r="R102" i="18" s="1"/>
  <c r="M150" i="18"/>
  <c r="N150" i="18" s="1"/>
  <c r="R150" i="18" s="1"/>
  <c r="M161" i="18"/>
  <c r="N161" i="18" s="1"/>
  <c r="R161" i="18" s="1"/>
  <c r="M208" i="18"/>
  <c r="N208" i="18" s="1"/>
  <c r="R208" i="18" s="1"/>
  <c r="M46" i="18"/>
  <c r="N46" i="18" s="1"/>
  <c r="R46" i="18" s="1"/>
  <c r="M55" i="18"/>
  <c r="N55" i="18" s="1"/>
  <c r="R55" i="18" s="1"/>
  <c r="M188" i="18"/>
  <c r="N188" i="18" s="1"/>
  <c r="R188" i="18" s="1"/>
  <c r="M63" i="18"/>
  <c r="N63" i="18" s="1"/>
  <c r="R63" i="18" s="1"/>
  <c r="M207" i="18"/>
  <c r="N207" i="18" s="1"/>
  <c r="R207" i="18" s="1"/>
  <c r="M65" i="18"/>
  <c r="N65" i="18" s="1"/>
  <c r="R65" i="18" s="1"/>
  <c r="M141" i="18"/>
  <c r="N141" i="18" s="1"/>
  <c r="R141" i="18" s="1"/>
  <c r="M107" i="18"/>
  <c r="N107" i="18" s="1"/>
  <c r="R107" i="18" s="1"/>
  <c r="M22" i="18"/>
  <c r="N22" i="18" s="1"/>
  <c r="R22" i="18" s="1"/>
  <c r="M160" i="18"/>
  <c r="N160" i="18" s="1"/>
  <c r="R160" i="18" s="1"/>
  <c r="M152" i="18"/>
  <c r="N152" i="18" s="1"/>
  <c r="R152" i="18" s="1"/>
  <c r="M198" i="18"/>
  <c r="N198" i="18" s="1"/>
  <c r="R198" i="18" s="1"/>
  <c r="M126" i="18"/>
  <c r="N126" i="18" s="1"/>
  <c r="R126" i="18" s="1"/>
  <c r="M111" i="18"/>
  <c r="N111" i="18" s="1"/>
  <c r="R111" i="18" s="1"/>
  <c r="M178" i="18"/>
  <c r="N178" i="18" s="1"/>
  <c r="R178" i="18" s="1"/>
  <c r="M78" i="18"/>
  <c r="N78" i="18" s="1"/>
  <c r="R78" i="18" s="1"/>
  <c r="M196" i="18"/>
  <c r="N196" i="18" s="1"/>
  <c r="R196" i="18" s="1"/>
  <c r="M52" i="18"/>
  <c r="N52" i="18" s="1"/>
  <c r="R52" i="18" s="1"/>
  <c r="M92" i="18"/>
  <c r="N92" i="18" s="1"/>
  <c r="R92" i="18" s="1"/>
  <c r="M192" i="18"/>
  <c r="N192" i="18" s="1"/>
  <c r="R192" i="18" s="1"/>
  <c r="M88" i="18"/>
  <c r="N88" i="18" s="1"/>
  <c r="R88" i="18" s="1"/>
  <c r="M130" i="18"/>
  <c r="N130" i="18" s="1"/>
  <c r="R130" i="18" s="1"/>
  <c r="M168" i="18"/>
  <c r="N168" i="18" s="1"/>
  <c r="R168" i="18" s="1"/>
  <c r="M153" i="18"/>
  <c r="N153" i="18" s="1"/>
  <c r="R153" i="18" s="1"/>
  <c r="M24" i="18"/>
  <c r="N24" i="18" s="1"/>
  <c r="R24" i="18" s="1"/>
  <c r="M154" i="18"/>
  <c r="N154" i="18" s="1"/>
  <c r="R154" i="18" s="1"/>
  <c r="M25" i="18"/>
  <c r="N25" i="18" s="1"/>
  <c r="R25" i="18" s="1"/>
  <c r="M140" i="18"/>
  <c r="N140" i="18" s="1"/>
  <c r="R140" i="18" s="1"/>
  <c r="M57" i="18"/>
  <c r="N57" i="18" s="1"/>
  <c r="R57" i="18" s="1"/>
  <c r="M120" i="18"/>
  <c r="N120" i="18" s="1"/>
  <c r="R120" i="18" s="1"/>
  <c r="M32" i="18"/>
  <c r="N32" i="18" s="1"/>
  <c r="R32" i="18" s="1"/>
  <c r="M62" i="18"/>
  <c r="N62" i="18" s="1"/>
  <c r="R62" i="18" s="1"/>
  <c r="M181" i="18"/>
  <c r="N181" i="18" s="1"/>
  <c r="R181" i="18" s="1"/>
  <c r="M134" i="18"/>
  <c r="N134" i="18" s="1"/>
  <c r="R134" i="18" s="1"/>
  <c r="M190" i="18"/>
  <c r="N190" i="18" s="1"/>
  <c r="R190" i="18" s="1"/>
  <c r="M138" i="18"/>
  <c r="N138" i="18" s="1"/>
  <c r="R138" i="18" s="1"/>
  <c r="M39" i="18"/>
  <c r="N39" i="18" s="1"/>
  <c r="R39" i="18" s="1"/>
  <c r="M114" i="18"/>
  <c r="N114" i="18" s="1"/>
  <c r="R114" i="18" s="1"/>
  <c r="M100" i="18"/>
  <c r="N100" i="18" s="1"/>
  <c r="R100" i="18" s="1"/>
  <c r="M159" i="18"/>
  <c r="N159" i="18" s="1"/>
  <c r="R159" i="18" s="1"/>
  <c r="M125" i="18"/>
  <c r="N125" i="18" s="1"/>
  <c r="R125" i="18" s="1"/>
  <c r="M108" i="18"/>
  <c r="N108" i="18" s="1"/>
  <c r="R108" i="18" s="1"/>
  <c r="M166" i="18"/>
  <c r="N166" i="18" s="1"/>
  <c r="R166" i="18" s="1"/>
  <c r="M155" i="18"/>
  <c r="N155" i="18" s="1"/>
  <c r="R155" i="18" s="1"/>
  <c r="M34" i="18"/>
  <c r="N34" i="18" s="1"/>
  <c r="R34" i="18" s="1"/>
  <c r="M71" i="18"/>
  <c r="N71" i="18" s="1"/>
  <c r="R71" i="18" s="1"/>
  <c r="M148" i="18"/>
  <c r="N148" i="18" s="1"/>
  <c r="R148" i="18" s="1"/>
  <c r="M127" i="18"/>
  <c r="N127" i="18" s="1"/>
  <c r="R127" i="18" s="1"/>
  <c r="M200" i="18"/>
  <c r="N200" i="18" s="1"/>
  <c r="R200" i="18" s="1"/>
  <c r="M167" i="18"/>
  <c r="N167" i="18" s="1"/>
  <c r="R167" i="18" s="1"/>
  <c r="M117" i="18"/>
  <c r="N117" i="18" s="1"/>
  <c r="R117" i="18" s="1"/>
  <c r="M183" i="18"/>
  <c r="N183" i="18" s="1"/>
  <c r="R183" i="18" s="1"/>
  <c r="M169" i="18"/>
  <c r="N169" i="18" s="1"/>
  <c r="R169" i="18" s="1"/>
  <c r="M145" i="18"/>
  <c r="N145" i="18" s="1"/>
  <c r="R145" i="18" s="1"/>
  <c r="M72" i="18"/>
  <c r="N72" i="18" s="1"/>
  <c r="R72" i="18" s="1"/>
  <c r="M20" i="18"/>
  <c r="M44" i="18"/>
  <c r="N44" i="18" s="1"/>
  <c r="R44" i="18" s="1"/>
  <c r="M131" i="18"/>
  <c r="N131" i="18" s="1"/>
  <c r="R131" i="18" s="1"/>
  <c r="M176" i="18"/>
  <c r="N176" i="18" s="1"/>
  <c r="R176" i="18" s="1"/>
  <c r="M121" i="18"/>
  <c r="N121" i="18" s="1"/>
  <c r="R121" i="18" s="1"/>
  <c r="M64" i="18"/>
  <c r="N64" i="18" s="1"/>
  <c r="R64" i="18" s="1"/>
  <c r="M40" i="18"/>
  <c r="N40" i="18" s="1"/>
  <c r="R40" i="18" s="1"/>
  <c r="M122" i="18"/>
  <c r="N122" i="18" s="1"/>
  <c r="R122" i="18" s="1"/>
  <c r="M47" i="18"/>
  <c r="N47" i="18" s="1"/>
  <c r="R47" i="18" s="1"/>
  <c r="M165" i="18"/>
  <c r="N165" i="18" s="1"/>
  <c r="R165" i="18" s="1"/>
  <c r="M54" i="18"/>
  <c r="N54" i="18" s="1"/>
  <c r="R54" i="18" s="1"/>
  <c r="M163" i="18"/>
  <c r="N163" i="18" s="1"/>
  <c r="R163" i="18" s="1"/>
  <c r="M171" i="18"/>
  <c r="N171" i="18" s="1"/>
  <c r="R171" i="18" s="1"/>
  <c r="M209" i="18"/>
  <c r="N209" i="18" s="1"/>
  <c r="R209" i="18" s="1"/>
  <c r="M70" i="18"/>
  <c r="N70" i="18" s="1"/>
  <c r="R70" i="18" s="1"/>
  <c r="M83" i="18"/>
  <c r="N83" i="18" s="1"/>
  <c r="R83" i="18" s="1"/>
  <c r="M179" i="18"/>
  <c r="N179" i="18" s="1"/>
  <c r="R179" i="18" s="1"/>
  <c r="M59" i="18"/>
  <c r="N59" i="18" s="1"/>
  <c r="R59" i="18" s="1"/>
  <c r="M29" i="18"/>
  <c r="N29" i="18" s="1"/>
  <c r="R29" i="18" s="1"/>
  <c r="M23" i="18"/>
  <c r="N23" i="18" s="1"/>
  <c r="R23" i="18" s="1"/>
  <c r="M99" i="18"/>
  <c r="N99" i="18" s="1"/>
  <c r="R99" i="18" s="1"/>
  <c r="M186" i="18"/>
  <c r="N186" i="18" s="1"/>
  <c r="R186" i="18" s="1"/>
  <c r="M85" i="18"/>
  <c r="N85" i="18" s="1"/>
  <c r="R85" i="18" s="1"/>
  <c r="M43" i="18"/>
  <c r="N43" i="18" s="1"/>
  <c r="R43" i="18" s="1"/>
  <c r="M162" i="18"/>
  <c r="N162" i="18" s="1"/>
  <c r="R162" i="18" s="1"/>
  <c r="M106" i="18"/>
  <c r="N106" i="18" s="1"/>
  <c r="R106" i="18" s="1"/>
  <c r="M115" i="18"/>
  <c r="N115" i="18" s="1"/>
  <c r="R115" i="18" s="1"/>
  <c r="M35" i="18"/>
  <c r="N35" i="18" s="1"/>
  <c r="R35" i="18" s="1"/>
  <c r="M68" i="18"/>
  <c r="N68" i="18" s="1"/>
  <c r="R68" i="18" s="1"/>
  <c r="M128" i="18"/>
  <c r="N128" i="18" s="1"/>
  <c r="R128" i="18" s="1"/>
  <c r="M42" i="18"/>
  <c r="N42" i="18" s="1"/>
  <c r="R42" i="18" s="1"/>
  <c r="M50" i="18"/>
  <c r="N50" i="18" s="1"/>
  <c r="R50" i="18" s="1"/>
  <c r="M41" i="18"/>
  <c r="N41" i="18" s="1"/>
  <c r="R41" i="18" s="1"/>
  <c r="M210" i="18"/>
  <c r="N210" i="18" s="1"/>
  <c r="R210" i="18" s="1"/>
  <c r="M137" i="18"/>
  <c r="N137" i="18" s="1"/>
  <c r="R137" i="18" s="1"/>
  <c r="M36" i="18"/>
  <c r="N36" i="18" s="1"/>
  <c r="R36" i="18" s="1"/>
  <c r="M87" i="18"/>
  <c r="N87" i="18" s="1"/>
  <c r="R87" i="18" s="1"/>
  <c r="M31" i="18"/>
  <c r="N31" i="18" s="1"/>
  <c r="R31" i="18" s="1"/>
  <c r="M202" i="18"/>
  <c r="N202" i="18" s="1"/>
  <c r="R202" i="18" s="1"/>
  <c r="M142" i="18"/>
  <c r="N142" i="18" s="1"/>
  <c r="R142" i="18" s="1"/>
  <c r="M143" i="18"/>
  <c r="N143" i="18" s="1"/>
  <c r="R143" i="18" s="1"/>
  <c r="M133" i="18"/>
  <c r="N133" i="18" s="1"/>
  <c r="R133" i="18" s="1"/>
  <c r="M109" i="18"/>
  <c r="N109" i="18" s="1"/>
  <c r="R109" i="18" s="1"/>
  <c r="M37" i="18"/>
  <c r="N37" i="18" s="1"/>
  <c r="R37" i="18" s="1"/>
  <c r="M113" i="18"/>
  <c r="N113" i="18" s="1"/>
  <c r="R113" i="18" s="1"/>
  <c r="M51" i="18"/>
  <c r="N51" i="18" s="1"/>
  <c r="R51" i="18" s="1"/>
  <c r="M58" i="18"/>
  <c r="N58" i="18" s="1"/>
  <c r="R58" i="18" s="1"/>
  <c r="M194" i="18"/>
  <c r="N194" i="18" s="1"/>
  <c r="R194" i="18" s="1"/>
  <c r="M175" i="18"/>
  <c r="N175" i="18" s="1"/>
  <c r="R175" i="18" s="1"/>
  <c r="M211" i="18"/>
  <c r="N211" i="18" s="1"/>
  <c r="R211" i="18" s="1"/>
  <c r="M139" i="18"/>
  <c r="N139" i="18" s="1"/>
  <c r="R139" i="18" s="1"/>
  <c r="M174" i="18"/>
  <c r="N174" i="18" s="1"/>
  <c r="R174" i="18" s="1"/>
  <c r="M177" i="18"/>
  <c r="N177" i="18" s="1"/>
  <c r="R177" i="18" s="1"/>
  <c r="M191" i="18"/>
  <c r="N191" i="18" s="1"/>
  <c r="R191" i="18" s="1"/>
  <c r="M123" i="18"/>
  <c r="N123" i="18" s="1"/>
  <c r="R123" i="18" s="1"/>
  <c r="M144" i="18"/>
  <c r="N144" i="18" s="1"/>
  <c r="R144" i="18" s="1"/>
  <c r="M135" i="18"/>
  <c r="N135" i="18" s="1"/>
  <c r="R135" i="18" s="1"/>
  <c r="M49" i="18"/>
  <c r="N49" i="18" s="1"/>
  <c r="R49" i="18" s="1"/>
  <c r="M124" i="18"/>
  <c r="N124" i="18" s="1"/>
  <c r="R124" i="18" s="1"/>
  <c r="M56" i="18"/>
  <c r="M81" i="18"/>
  <c r="N81" i="18" s="1"/>
  <c r="R81" i="18" s="1"/>
  <c r="M27" i="18"/>
  <c r="N27" i="18" s="1"/>
  <c r="R27" i="18" s="1"/>
  <c r="M203" i="18"/>
  <c r="N203" i="18" s="1"/>
  <c r="R203" i="18" s="1"/>
  <c r="M94" i="18"/>
  <c r="N94" i="18" s="1"/>
  <c r="R94" i="18" s="1"/>
  <c r="M79" i="18"/>
  <c r="N79" i="18" s="1"/>
  <c r="R79" i="18" s="1"/>
  <c r="M77" i="18"/>
  <c r="N77" i="18" s="1"/>
  <c r="R77" i="18" s="1"/>
  <c r="M197" i="18"/>
  <c r="N197" i="18" s="1"/>
  <c r="R197" i="18" s="1"/>
  <c r="M158" i="18"/>
  <c r="N158" i="18" s="1"/>
  <c r="R158" i="18" s="1"/>
  <c r="M182" i="18"/>
  <c r="N182" i="18" s="1"/>
  <c r="R182" i="18" s="1"/>
  <c r="M89" i="18"/>
  <c r="N89" i="18" s="1"/>
  <c r="R89" i="18" s="1"/>
  <c r="M136" i="18"/>
  <c r="N136" i="18" s="1"/>
  <c r="R136" i="18" s="1"/>
  <c r="M84" i="18"/>
  <c r="N84" i="18" s="1"/>
  <c r="R84" i="18" s="1"/>
  <c r="M173" i="18"/>
  <c r="N173" i="18" s="1"/>
  <c r="R173" i="18" s="1"/>
  <c r="M119" i="18"/>
  <c r="N119" i="18" s="1"/>
  <c r="R119" i="18" s="1"/>
  <c r="M185" i="18"/>
  <c r="N185" i="18" s="1"/>
  <c r="R185" i="18" s="1"/>
  <c r="M199" i="18"/>
  <c r="N199" i="18" s="1"/>
  <c r="R199" i="18" s="1"/>
  <c r="M129" i="18"/>
  <c r="N129" i="18" s="1"/>
  <c r="R129" i="18" s="1"/>
  <c r="M96" i="18"/>
  <c r="N96" i="18" s="1"/>
  <c r="R96" i="18" s="1"/>
  <c r="M104" i="18"/>
  <c r="N104" i="18" s="1"/>
  <c r="R104" i="18" s="1"/>
  <c r="M204" i="18"/>
  <c r="N204" i="18" s="1"/>
  <c r="R204" i="18" s="1"/>
  <c r="M48" i="18"/>
  <c r="N48" i="18" s="1"/>
  <c r="R48" i="18" s="1"/>
  <c r="M76" i="18"/>
  <c r="N76" i="18" s="1"/>
  <c r="R76" i="18" s="1"/>
  <c r="M91" i="18"/>
  <c r="N91" i="18" s="1"/>
  <c r="R91" i="18" s="1"/>
  <c r="M67" i="18"/>
  <c r="N67" i="18" s="1"/>
  <c r="R67" i="18" s="1"/>
  <c r="M66" i="18"/>
  <c r="N66" i="18" s="1"/>
  <c r="R66" i="18" s="1"/>
  <c r="M118" i="18"/>
  <c r="N118" i="18" s="1"/>
  <c r="R118" i="18" s="1"/>
  <c r="M164" i="18"/>
  <c r="N164" i="18" s="1"/>
  <c r="R164" i="18" s="1"/>
  <c r="M82" i="18"/>
  <c r="N82" i="18" s="1"/>
  <c r="R82" i="18" s="1"/>
  <c r="M205" i="18"/>
  <c r="N205" i="18" s="1"/>
  <c r="R205" i="18" s="1"/>
  <c r="M193" i="18"/>
  <c r="N193" i="18" s="1"/>
  <c r="R193" i="18" s="1"/>
  <c r="M26" i="18"/>
  <c r="N26" i="18" s="1"/>
  <c r="R26" i="18" s="1"/>
  <c r="M53" i="18"/>
  <c r="N53" i="18" s="1"/>
  <c r="R53" i="18" s="1"/>
  <c r="M69" i="18"/>
  <c r="N69" i="18" s="1"/>
  <c r="R69" i="18" s="1"/>
  <c r="M170" i="18"/>
  <c r="N170" i="18" s="1"/>
  <c r="R170" i="18" s="1"/>
  <c r="M98" i="18"/>
  <c r="N98" i="18" s="1"/>
  <c r="R98" i="18" s="1"/>
  <c r="M60" i="18"/>
  <c r="N60" i="18" s="1"/>
  <c r="R60" i="18" s="1"/>
  <c r="M156" i="18"/>
  <c r="N156" i="18" s="1"/>
  <c r="R156" i="18" s="1"/>
  <c r="M195" i="18"/>
  <c r="N195" i="18" s="1"/>
  <c r="R195" i="18" s="1"/>
  <c r="M172" i="18"/>
  <c r="N172" i="18" s="1"/>
  <c r="R172" i="18" s="1"/>
  <c r="M187" i="18"/>
  <c r="N187" i="18" s="1"/>
  <c r="R187" i="18" s="1"/>
  <c r="M90" i="18"/>
  <c r="N90" i="18" s="1"/>
  <c r="R90" i="18" s="1"/>
  <c r="M146" i="18"/>
  <c r="N146" i="18" s="1"/>
  <c r="R146" i="18" s="1"/>
  <c r="M180" i="18"/>
  <c r="N180" i="18" s="1"/>
  <c r="R180" i="18" s="1"/>
  <c r="M147" i="18"/>
  <c r="N147" i="18" s="1"/>
  <c r="R147" i="18" s="1"/>
  <c r="M206" i="18"/>
  <c r="N206" i="18" s="1"/>
  <c r="R206" i="18" s="1"/>
  <c r="M80" i="18"/>
  <c r="N80" i="18" s="1"/>
  <c r="R80" i="18" s="1"/>
  <c r="M38" i="18"/>
  <c r="N38" i="18" s="1"/>
  <c r="R38" i="18" s="1"/>
  <c r="M61" i="18"/>
  <c r="N61" i="18" s="1"/>
  <c r="R61" i="18" s="1"/>
  <c r="M45" i="18"/>
  <c r="N45" i="18" s="1"/>
  <c r="R45" i="18" s="1"/>
  <c r="M149" i="18"/>
  <c r="N149" i="18" s="1"/>
  <c r="R149" i="18" s="1"/>
  <c r="M132" i="18"/>
  <c r="N132" i="18" s="1"/>
  <c r="R132" i="18" s="1"/>
  <c r="M110" i="18"/>
  <c r="N110" i="18" s="1"/>
  <c r="R110" i="18" s="1"/>
  <c r="M105" i="18"/>
  <c r="N105" i="18" s="1"/>
  <c r="R105" i="18" s="1"/>
  <c r="M201" i="18"/>
  <c r="N201" i="18" s="1"/>
  <c r="R201" i="18" s="1"/>
  <c r="M95" i="18"/>
  <c r="N95" i="18" s="1"/>
  <c r="R95" i="18" s="1"/>
  <c r="M21" i="18"/>
  <c r="N21" i="18" s="1"/>
  <c r="R21" i="18" s="1"/>
  <c r="M112" i="18"/>
  <c r="N112" i="18" s="1"/>
  <c r="R112" i="18" s="1"/>
  <c r="M189" i="18"/>
  <c r="N189" i="18" s="1"/>
  <c r="R189" i="18" s="1"/>
  <c r="M184" i="18"/>
  <c r="N184" i="18" s="1"/>
  <c r="R184" i="18" s="1"/>
  <c r="M86" i="18"/>
  <c r="N86" i="18" s="1"/>
  <c r="R86" i="18" s="1"/>
  <c r="M74" i="18"/>
  <c r="N74" i="18" s="1"/>
  <c r="R74" i="18" s="1"/>
  <c r="M75" i="18"/>
  <c r="N75" i="18" s="1"/>
  <c r="R75" i="18" s="1"/>
  <c r="M101" i="18"/>
  <c r="N101" i="18" s="1"/>
  <c r="R101" i="18" s="1"/>
  <c r="M103" i="18"/>
  <c r="N103" i="18" s="1"/>
  <c r="R10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<sst xmlns="http://schemas.openxmlformats.org/spreadsheetml/2006/main" count="422" uniqueCount="104">
  <si>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</si>
  <si>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</si>
  <si>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</si>
  <si>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</si>
  <si>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</si>
  <si>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</si>
  <si>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</si>
  <si>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</si>
  <si>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</si>
  <si>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</si>
  <si>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</si>
  <si>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</si>
  <si>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</si>
  <si>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</si>
  <si>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</si>
  <si>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</si>
  <si>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</si>
  <si>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</si>
  <si>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</si>
  <si>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</si>
  <si>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</si>
  <si>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</si>
  <si>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</si>
  <si>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</si>
  <si>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</si>
  <si>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</si>
  <si>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</si>
  <si>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</si>
  <si>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</si>
  <si>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</si>
  <si>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</si>
  <si>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</si>
  <si>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</si>
  <si>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</si>
  <si>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</si>
  <si>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</si>
  <si>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</si>
  <si>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</si>
  <si>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</si>
  <si>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</si>
  <si>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</si>
  <si>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</si>
  <si>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</si>
  <si>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</si>
  <si>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</si>
  <si>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</si>
  <si>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</si>
  <si>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</si>
  <si>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</si>
  <si>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</si>
  <si>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</si>
  <si>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</si>
  <si>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</si>
  <si>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</si>
  <si>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</si>
  <si>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</si>
  <si>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</si>
  <si>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</si>
  <si>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</si>
  <si>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</si>
  <si>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</si>
  <si>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</si>
  <si>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</si>
  <si>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</si>
  <si>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</si>
  <si>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</si>
  <si>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</si>
  <si>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</si>
  <si>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</si>
  <si>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</si>
  <si>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</si>
  <si>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</si>
  <si>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</si>
  <si>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</si>
  <si>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</si>
  <si>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</si>
  <si>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</si>
  <si>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</si>
  <si>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</si>
  <si>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</si>
  <si>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</si>
  <si>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</si>
  <si>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</si>
  <si>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</si>
  <si>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</si>
  <si>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</si>
  <si>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</si>
  <si>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</si>
  <si>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</si>
  <si>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</si>
  <si>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</si>
  <si>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</si>
  <si>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</si>
  <si>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</si>
  <si>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</si>
  <si>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</si>
  <si>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 SOUTHWESTERN TRANSMISSION</t>
  </si>
  <si>
    <t xml:space="preserve">    &lt;&lt; SOUTHWESTERN TRANSMISSION COMPANY &gt;&gt;</t>
  </si>
  <si>
    <t>AEPTCo Formula Rate -- FERC Docket ER18-194</t>
  </si>
  <si>
    <t>(H)</t>
  </si>
  <si>
    <t xml:space="preserve"> (I) = (G) + (H)</t>
  </si>
  <si>
    <t>2017 ROE Refund</t>
  </si>
  <si>
    <t>Total NITS Surcharge / Refund</t>
  </si>
  <si>
    <t>2021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</si>
</sst>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8" xfId="0" applyBorder="1" applyProtection="1"/>
    <xf numFmtId="0" fontId="9" fillId="3" borderId="19" xfId="0" quotePrefix="1" applyFont="1" applyFill="1" applyBorder="1" applyAlignment="1" applyProtection="1">
      <alignment horizontal="left" vertical="center" wrapText="1"/>
    </xf>
    <xf numFmtId="165" fontId="0" fillId="3" borderId="20" xfId="2" applyNumberFormat="1" applyFont="1" applyFill="1" applyBorder="1" applyAlignment="1" applyProtection="1">
      <alignment vertical="center"/>
    </xf>
    <xf numFmtId="165" fontId="0" fillId="3" borderId="21" xfId="2" applyNumberFormat="1" applyFont="1" applyFill="1" applyBorder="1" applyAlignment="1" applyProtection="1">
      <alignment vertical="center"/>
    </xf>
    <xf numFmtId="165" fontId="3" fillId="3" borderId="22" xfId="2" applyNumberFormat="1" applyFont="1" applyFill="1" applyBorder="1" applyAlignment="1" applyProtection="1">
      <alignment vertical="center"/>
    </xf>
    <xf numFmtId="0" fontId="0" fillId="0" borderId="23" xfId="0" quotePrefix="1" applyBorder="1" applyAlignment="1" applyProtection="1">
      <alignment horizontal="left"/>
    </xf>
    <xf numFmtId="0" fontId="0" fillId="0" borderId="24" xfId="0" applyBorder="1" applyProtection="1"/>
    <xf numFmtId="0" fontId="0" fillId="0" borderId="25" xfId="0" applyBorder="1" applyProtection="1"/>
    <xf numFmtId="0" fontId="9" fillId="0" borderId="19" xfId="0" quotePrefix="1" applyFont="1" applyFill="1" applyBorder="1" applyAlignment="1" applyProtection="1">
      <alignment horizontal="left" vertical="center" wrapText="1"/>
    </xf>
    <xf numFmtId="165" fontId="0" fillId="0" borderId="20" xfId="2" applyNumberFormat="1" applyFont="1" applyFill="1" applyBorder="1" applyAlignment="1" applyProtection="1">
      <alignment vertical="center"/>
    </xf>
    <xf numFmtId="165" fontId="0" fillId="0" borderId="21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6" xfId="2" applyNumberFormat="1" applyFont="1" applyBorder="1" applyAlignment="1" applyProtection="1">
      <alignment vertical="center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0" xfId="0" applyNumberFormat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29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1" xfId="0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164" fontId="3" fillId="0" borderId="31" xfId="0" applyNumberFormat="1" applyFont="1" applyBorder="1" applyAlignment="1" applyProtection="1">
      <alignment horizontal="right"/>
    </xf>
    <xf numFmtId="167" fontId="0" fillId="0" borderId="21" xfId="0" applyNumberFormat="1" applyBorder="1" applyAlignment="1" applyProtection="1">
      <alignment horizontal="center"/>
    </xf>
    <xf numFmtId="167" fontId="0" fillId="4" borderId="31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0" xfId="0" quotePrefix="1" applyNumberFormat="1" applyFont="1" applyBorder="1" applyAlignment="1" applyProtection="1">
      <alignment horizontal="center" vertical="center" wrapText="1"/>
    </xf>
    <xf numFmtId="0" fontId="4" fillId="0" borderId="21" xfId="0" quotePrefix="1" applyFont="1" applyBorder="1" applyAlignment="1" applyProtection="1">
      <alignment horizontal="center" vertical="center" wrapText="1"/>
    </xf>
    <xf numFmtId="164" fontId="4" fillId="5" borderId="21" xfId="0" quotePrefix="1" applyNumberFormat="1" applyFont="1" applyFill="1" applyBorder="1" applyAlignment="1" applyProtection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4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24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167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167" fontId="7" fillId="6" borderId="31" xfId="0" applyNumberFormat="1" applyFont="1" applyFill="1" applyBorder="1" applyAlignment="1" applyProtection="1">
      <alignment horizont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1" fillId="0" borderId="0" xfId="0" quotePrefix="1" applyNumberFormat="1" applyFont="1" applyProtection="1"/>
    <xf numFmtId="0" fontId="3" fillId="0" borderId="47" xfId="0" quotePrefix="1" applyFont="1" applyBorder="1" applyAlignment="1" applyProtection="1">
      <alignment horizontal="center" vertical="center" wrapText="1"/>
    </xf>
    <xf numFmtId="0" fontId="3" fillId="0" borderId="29" xfId="0" quotePrefix="1" applyFont="1" applyBorder="1" applyAlignment="1" applyProtection="1">
      <alignment horizontal="center" vertical="center" wrapText="1"/>
    </xf>
    <xf numFmtId="165" fontId="0" fillId="0" borderId="24" xfId="2" applyNumberFormat="1" applyFont="1" applyBorder="1" applyProtection="1"/>
    <xf numFmtId="165" fontId="0" fillId="0" borderId="11" xfId="2" applyNumberFormat="1" applyFont="1" applyBorder="1" applyProtection="1"/>
    <xf numFmtId="165" fontId="3" fillId="3" borderId="31" xfId="2" applyNumberFormat="1" applyFont="1" applyFill="1" applyBorder="1" applyAlignment="1" applyProtection="1">
      <alignment vertical="center"/>
    </xf>
    <xf numFmtId="165" fontId="3" fillId="3" borderId="48" xfId="2" applyNumberFormat="1" applyFont="1" applyFill="1" applyBorder="1" applyAlignment="1" applyProtection="1">
      <alignment vertical="center"/>
    </xf>
    <xf numFmtId="165" fontId="3" fillId="0" borderId="31" xfId="2" applyNumberFormat="1" applyFont="1" applyFill="1" applyBorder="1" applyAlignment="1" applyProtection="1">
      <alignment vertical="center"/>
    </xf>
    <xf numFmtId="165" fontId="3" fillId="0" borderId="48" xfId="2" applyNumberFormat="1" applyFont="1" applyFill="1" applyBorder="1" applyAlignment="1" applyProtection="1">
      <alignment vertical="center"/>
    </xf>
    <xf numFmtId="165" fontId="0" fillId="0" borderId="49" xfId="2" applyNumberFormat="1" applyFont="1" applyBorder="1" applyAlignment="1" applyProtection="1">
      <alignment vertical="center"/>
    </xf>
    <xf numFmtId="165" fontId="0" fillId="0" borderId="50" xfId="2" applyNumberFormat="1" applyFont="1" applyBorder="1" applyAlignment="1" applyProtection="1">
      <alignment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1" xfId="0" quotePrefix="1" applyNumberFormat="1" applyFont="1" applyFill="1" applyBorder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97975462962" createdVersion="6" refreshedVersion="7" recordCount="192" xr:uid="{00000000-000A-0000-FFFF-FFFFA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1.0368952256941935" maxValue="1.0368952256941935"/>
    </cacheField>
    <cacheField name="Actual True-Up Rate" numFmtId="164">
      <sharedItems containsSemiMixedTypes="0" containsString="0" containsNumber="1" minValue="1.105007265554538" maxValue="1.105007265554538"/>
    </cacheField>
    <cacheField name="True-Up Charge" numFmtId="164">
      <sharedItems containsSemiMixedTypes="0" containsString="0" containsNumber="1" minValue="1.105007265554538" maxValue="4674.180733295696"/>
    </cacheField>
    <cacheField name="Invoiced*** Charge (proj.)" numFmtId="164">
      <sharedItems containsSemiMixedTypes="0" containsString="0" containsNumber="1" minValue="1.0368952256941935" maxValue="4386.0668046864384"/>
    </cacheField>
    <cacheField name="True-Up w/o Interest" numFmtId="164">
      <sharedItems containsSemiMixedTypes="0" containsString="0" containsNumber="1" minValue="6.8112039860344531E-2" maxValue="288.11392860925753"/>
    </cacheField>
    <cacheField name="Interest" numFmtId="164">
      <sharedItems containsSemiMixedTypes="0" containsString="0" containsNumber="1" minValue="3.7194008311661883E-3" maxValue="15.733065515832976"/>
    </cacheField>
    <cacheField name="2021 True Up Including Interest" numFmtId="164">
      <sharedItems containsSemiMixedTypes="0" containsString="0" containsNumber="1" minValue="7.183144069151072E-2" maxValue="303.8469941250905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7.183144069151072E-2" maxValue="303.846994125090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1.0368952256941935"/>
    <n v="1.105007265554538"/>
    <n v="3203.4160628426057"/>
    <n v="3005.9592592874669"/>
    <n v="197.45680355513878"/>
    <n v="10.78254300955078"/>
    <n v="208.23934656468955"/>
    <n v="0"/>
    <n v="0"/>
    <n v="0"/>
    <n v="208.23934656468955"/>
  </r>
  <r>
    <x v="1"/>
    <d v="2022-03-03T00:00:00"/>
    <d v="2022-03-22T00:00:00"/>
    <x v="0"/>
    <n v="9"/>
    <n v="2759"/>
    <n v="1.0368952256941935"/>
    <n v="1.105007265554538"/>
    <n v="3048.7150456649701"/>
    <n v="2860.7939276902798"/>
    <n v="187.92111797469033"/>
    <n v="10.261826893187513"/>
    <n v="198.18294486787784"/>
    <n v="0"/>
    <n v="0"/>
    <n v="0"/>
    <n v="198.18294486787784"/>
  </r>
  <r>
    <x v="2"/>
    <d v="2022-04-05T00:00:00"/>
    <d v="2022-04-25T00:00:00"/>
    <x v="0"/>
    <n v="9"/>
    <n v="2450"/>
    <n v="1.0368952256941935"/>
    <n v="1.105007265554538"/>
    <n v="2707.267800608618"/>
    <n v="2540.3933029507739"/>
    <n v="166.87449765784413"/>
    <n v="9.1125320363571607"/>
    <n v="175.98702969420128"/>
    <n v="0"/>
    <n v="0"/>
    <n v="0"/>
    <n v="175.98702969420128"/>
  </r>
  <r>
    <x v="3"/>
    <d v="2022-05-04T00:00:00"/>
    <d v="2022-05-24T00:00:00"/>
    <x v="0"/>
    <n v="9"/>
    <n v="2395"/>
    <n v="1.0368952256941935"/>
    <n v="1.105007265554538"/>
    <n v="2646.4924010031186"/>
    <n v="2483.3640655375934"/>
    <n v="163.1283354655252"/>
    <n v="8.9079649906430198"/>
    <n v="172.03630045616822"/>
    <n v="0"/>
    <n v="0"/>
    <n v="0"/>
    <n v="172.03630045616822"/>
  </r>
  <r>
    <x v="4"/>
    <d v="2022-06-03T00:00:00"/>
    <d v="2022-06-23T00:00:00"/>
    <x v="0"/>
    <n v="9"/>
    <n v="3482"/>
    <n v="1.0368952256941935"/>
    <n v="1.105007265554538"/>
    <n v="3847.6352986609013"/>
    <n v="3610.4691758671815"/>
    <n v="237.16612279371975"/>
    <n v="12.950953694120667"/>
    <n v="250.11707648784042"/>
    <n v="0"/>
    <n v="0"/>
    <n v="0"/>
    <n v="250.11707648784042"/>
  </r>
  <r>
    <x v="5"/>
    <d v="2022-07-05T00:00:00"/>
    <d v="2022-07-25T00:00:00"/>
    <x v="0"/>
    <n v="9"/>
    <n v="4006"/>
    <n v="1.0368952256941935"/>
    <n v="1.105007265554538"/>
    <n v="4426.6591058114791"/>
    <n v="4153.8022741309387"/>
    <n v="272.85683168054038"/>
    <n v="14.899919729651749"/>
    <n v="287.75675141019212"/>
    <n v="0"/>
    <n v="0"/>
    <n v="0"/>
    <n v="287.75675141019212"/>
  </r>
  <r>
    <x v="6"/>
    <d v="2022-08-03T00:00:00"/>
    <d v="2022-08-23T00:00:00"/>
    <x v="0"/>
    <n v="9"/>
    <n v="4230"/>
    <n v="1.0368952256941935"/>
    <n v="1.105007265554538"/>
    <n v="4674.180733295696"/>
    <n v="4386.0668046864384"/>
    <n v="288.11392860925753"/>
    <n v="15.733065515832976"/>
    <n v="303.84699412509053"/>
    <n v="0"/>
    <n v="0"/>
    <n v="0"/>
    <n v="303.84699412509053"/>
  </r>
  <r>
    <x v="7"/>
    <d v="2022-09-05T00:00:00"/>
    <d v="2022-09-23T00:00:00"/>
    <x v="0"/>
    <n v="9"/>
    <n v="4151"/>
    <n v="1.0368952256941935"/>
    <n v="1.105007265554538"/>
    <n v="4586.8851593168874"/>
    <n v="4304.1520818565969"/>
    <n v="282.73307746029059"/>
    <n v="15.439232850170844"/>
    <n v="298.17231031046146"/>
    <n v="0"/>
    <n v="0"/>
    <n v="0"/>
    <n v="298.17231031046146"/>
  </r>
  <r>
    <x v="8"/>
    <d v="2022-10-05T00:00:00"/>
    <d v="2022-10-25T00:00:00"/>
    <x v="0"/>
    <n v="9"/>
    <n v="3898"/>
    <n v="1.0368952256941935"/>
    <n v="1.105007265554538"/>
    <n v="4307.3183211315891"/>
    <n v="4041.8175897559663"/>
    <n v="265.50073137562276"/>
    <n v="14.498224439885801"/>
    <n v="279.99895581550857"/>
    <n v="0"/>
    <n v="0"/>
    <n v="0"/>
    <n v="279.99895581550857"/>
  </r>
  <r>
    <x v="9"/>
    <d v="2022-11-03T00:00:00"/>
    <d v="2022-11-23T00:00:00"/>
    <x v="0"/>
    <n v="9"/>
    <n v="2760"/>
    <n v="1.0368952256941935"/>
    <n v="1.105007265554538"/>
    <n v="3049.820052930525"/>
    <n v="2861.8308229159738"/>
    <n v="187.98923001455114"/>
    <n v="10.265546294018678"/>
    <n v="198.25477630856983"/>
    <n v="0"/>
    <n v="0"/>
    <n v="0"/>
    <n v="198.25477630856983"/>
  </r>
  <r>
    <x v="10"/>
    <d v="2022-12-05T00:00:00"/>
    <d v="2022-12-23T00:00:00"/>
    <x v="0"/>
    <n v="9"/>
    <n v="2561"/>
    <n v="1.0368952256941935"/>
    <n v="1.105007265554538"/>
    <n v="2829.9236070851716"/>
    <n v="2655.4886730028293"/>
    <n v="174.43493408234235"/>
    <n v="9.5253855286166065"/>
    <n v="183.96031961095895"/>
    <n v="0"/>
    <n v="0"/>
    <n v="0"/>
    <n v="183.96031961095895"/>
  </r>
  <r>
    <x v="11"/>
    <d v="2023-01-04T00:00:00"/>
    <d v="2023-01-24T00:00:00"/>
    <x v="0"/>
    <n v="9"/>
    <n v="3150"/>
    <n v="1.0368952256941935"/>
    <n v="1.105007265554538"/>
    <n v="3480.7728864967949"/>
    <n v="3266.2199609367094"/>
    <n v="214.55292556008544"/>
    <n v="11.716112618173492"/>
    <n v="226.26903817825894"/>
    <n v="0"/>
    <n v="0"/>
    <n v="0"/>
    <n v="226.26903817825894"/>
  </r>
  <r>
    <x v="0"/>
    <d v="2022-02-03T00:00:00"/>
    <d v="2022-02-23T00:00:00"/>
    <x v="1"/>
    <n v="9"/>
    <n v="2921"/>
    <n v="1.0368952256941935"/>
    <n v="1.105007265554538"/>
    <n v="3227.7262226848056"/>
    <n v="3028.7709542527391"/>
    <n v="198.95526843206653"/>
    <n v="10.864369827836434"/>
    <n v="209.81963825990297"/>
    <n v="0"/>
    <n v="0"/>
    <n v="0"/>
    <n v="209.81963825990297"/>
  </r>
  <r>
    <x v="1"/>
    <d v="2022-03-03T00:00:00"/>
    <d v="2022-03-22T00:00:00"/>
    <x v="1"/>
    <n v="9"/>
    <n v="2853"/>
    <n v="1.0368952256941935"/>
    <n v="1.105007265554538"/>
    <n v="3152.5857286270971"/>
    <n v="2958.2620789055341"/>
    <n v="194.32364972156302"/>
    <n v="10.611450571317135"/>
    <n v="204.93510029288015"/>
    <n v="0"/>
    <n v="0"/>
    <n v="0"/>
    <n v="204.93510029288015"/>
  </r>
  <r>
    <x v="2"/>
    <d v="2022-04-05T00:00:00"/>
    <d v="2022-04-25T00:00:00"/>
    <x v="1"/>
    <n v="9"/>
    <n v="2560"/>
    <n v="1.0368952256941935"/>
    <n v="1.105007265554538"/>
    <n v="2828.8185998196172"/>
    <n v="2654.4517777771352"/>
    <n v="174.366822042482"/>
    <n v="9.5216661277854406"/>
    <n v="183.88848817026744"/>
    <n v="0"/>
    <n v="0"/>
    <n v="0"/>
    <n v="183.88848817026744"/>
  </r>
  <r>
    <x v="3"/>
    <d v="2022-05-04T00:00:00"/>
    <d v="2022-05-24T00:00:00"/>
    <x v="1"/>
    <n v="9"/>
    <n v="2434"/>
    <n v="1.0368952256941935"/>
    <n v="1.105007265554538"/>
    <n v="2689.5876843597453"/>
    <n v="2523.8029793396668"/>
    <n v="165.78470502007849"/>
    <n v="9.0530216230585019"/>
    <n v="174.83772664313699"/>
    <n v="0"/>
    <n v="0"/>
    <n v="0"/>
    <n v="174.83772664313699"/>
  </r>
  <r>
    <x v="4"/>
    <d v="2022-06-03T00:00:00"/>
    <d v="2022-06-23T00:00:00"/>
    <x v="1"/>
    <n v="9"/>
    <n v="3117"/>
    <n v="1.0368952256941935"/>
    <n v="1.105007265554538"/>
    <n v="3444.3076467334949"/>
    <n v="3232.0024184888011"/>
    <n v="212.30522824469381"/>
    <n v="11.593372390745008"/>
    <n v="223.89860063543881"/>
    <n v="0"/>
    <n v="0"/>
    <n v="0"/>
    <n v="223.89860063543881"/>
  </r>
  <r>
    <x v="5"/>
    <d v="2022-07-05T00:00:00"/>
    <d v="2022-07-25T00:00:00"/>
    <x v="1"/>
    <n v="9"/>
    <n v="3536"/>
    <n v="1.0368952256941935"/>
    <n v="1.105007265554538"/>
    <n v="3907.3056910008463"/>
    <n v="3666.461518054668"/>
    <n v="240.84417294617833"/>
    <n v="13.151801339003642"/>
    <n v="253.99597428518197"/>
    <n v="0"/>
    <n v="0"/>
    <n v="0"/>
    <n v="253.99597428518197"/>
  </r>
  <r>
    <x v="6"/>
    <d v="2022-08-03T00:00:00"/>
    <d v="2022-08-23T00:00:00"/>
    <x v="1"/>
    <n v="9"/>
    <n v="3696"/>
    <n v="1.0368952256941935"/>
    <n v="1.105007265554538"/>
    <n v="4084.1068534895726"/>
    <n v="3832.3647541657392"/>
    <n v="251.74209932383337"/>
    <n v="13.746905471990232"/>
    <n v="265.48900479582358"/>
    <n v="0"/>
    <n v="0"/>
    <n v="0"/>
    <n v="265.48900479582358"/>
  </r>
  <r>
    <x v="7"/>
    <d v="2022-09-05T00:00:00"/>
    <d v="2022-09-23T00:00:00"/>
    <x v="1"/>
    <n v="9"/>
    <n v="3632"/>
    <n v="1.0368952256941935"/>
    <n v="1.105007265554538"/>
    <n v="4013.386388494082"/>
    <n v="3766.0034597213107"/>
    <n v="247.38292877277127"/>
    <n v="13.508863818795595"/>
    <n v="260.89179259156685"/>
    <n v="0"/>
    <n v="0"/>
    <n v="0"/>
    <n v="260.89179259156685"/>
  </r>
  <r>
    <x v="8"/>
    <d v="2022-10-05T00:00:00"/>
    <d v="2022-10-25T00:00:00"/>
    <x v="1"/>
    <n v="9"/>
    <n v="3337"/>
    <n v="1.0368952256941935"/>
    <n v="1.105007265554538"/>
    <n v="3687.4092451554934"/>
    <n v="3460.1193681415234"/>
    <n v="227.28987701397"/>
    <n v="12.411640573601568"/>
    <n v="239.70151758757157"/>
    <n v="0"/>
    <n v="0"/>
    <n v="0"/>
    <n v="239.70151758757157"/>
  </r>
  <r>
    <x v="9"/>
    <d v="2022-11-03T00:00:00"/>
    <d v="2022-11-23T00:00:00"/>
    <x v="1"/>
    <n v="9"/>
    <n v="2496"/>
    <n v="1.0368952256941935"/>
    <n v="1.105007265554538"/>
    <n v="2758.0981348241266"/>
    <n v="2588.0904833327068"/>
    <n v="170.00765149141989"/>
    <n v="9.2836244745908054"/>
    <n v="179.29127596601069"/>
    <n v="0"/>
    <n v="0"/>
    <n v="0"/>
    <n v="179.29127596601069"/>
  </r>
  <r>
    <x v="10"/>
    <d v="2022-12-05T00:00:00"/>
    <d v="2022-12-23T00:00:00"/>
    <x v="1"/>
    <n v="9"/>
    <n v="2518"/>
    <n v="1.0368952256941935"/>
    <n v="1.105007265554538"/>
    <n v="2782.4082946663266"/>
    <n v="2610.9021782979789"/>
    <n v="171.50611636834765"/>
    <n v="9.3654512928764611"/>
    <n v="180.87156766122411"/>
    <n v="0"/>
    <n v="0"/>
    <n v="0"/>
    <n v="180.87156766122411"/>
  </r>
  <r>
    <x v="11"/>
    <d v="2023-01-04T00:00:00"/>
    <d v="2023-01-24T00:00:00"/>
    <x v="1"/>
    <n v="9"/>
    <n v="3399"/>
    <n v="1.0368952256941935"/>
    <n v="1.105007265554538"/>
    <n v="3755.9196956198748"/>
    <n v="3524.4068721345634"/>
    <n v="231.5128234853114"/>
    <n v="12.642243425133872"/>
    <n v="244.15506691044527"/>
    <n v="0"/>
    <n v="0"/>
    <n v="0"/>
    <n v="244.15506691044527"/>
  </r>
  <r>
    <x v="0"/>
    <d v="2022-02-03T00:00:00"/>
    <d v="2022-02-23T00:00:00"/>
    <x v="2"/>
    <n v="9"/>
    <n v="163"/>
    <n v="1.0368952256941935"/>
    <n v="1.105007265554538"/>
    <n v="180.11618428538969"/>
    <n v="169.01392178815354"/>
    <n v="11.102262497236154"/>
    <n v="0.60626233548008868"/>
    <n v="11.708524832716243"/>
    <n v="0"/>
    <n v="0"/>
    <n v="0"/>
    <n v="11.708524832716243"/>
  </r>
  <r>
    <x v="1"/>
    <d v="2022-03-03T00:00:00"/>
    <d v="2022-03-22T00:00:00"/>
    <x v="2"/>
    <n v="9"/>
    <n v="155"/>
    <n v="1.0368952256941935"/>
    <n v="1.105007265554538"/>
    <n v="171.2761261609534"/>
    <n v="160.71875998259998"/>
    <n v="10.557366178353419"/>
    <n v="0.57650712883075916"/>
    <n v="11.133873307184178"/>
    <n v="0"/>
    <n v="0"/>
    <n v="0"/>
    <n v="11.133873307184178"/>
  </r>
  <r>
    <x v="2"/>
    <d v="2022-04-05T00:00:00"/>
    <d v="2022-04-25T00:00:00"/>
    <x v="2"/>
    <n v="9"/>
    <n v="141"/>
    <n v="1.0368952256941935"/>
    <n v="1.105007265554538"/>
    <n v="155.80602444318987"/>
    <n v="146.20222682288127"/>
    <n v="9.6037976203085975"/>
    <n v="0.52443551719443249"/>
    <n v="10.128233137503029"/>
    <n v="0"/>
    <n v="0"/>
    <n v="0"/>
    <n v="10.128233137503029"/>
  </r>
  <r>
    <x v="3"/>
    <d v="2022-05-04T00:00:00"/>
    <d v="2022-05-24T00:00:00"/>
    <x v="2"/>
    <n v="9"/>
    <n v="92"/>
    <n v="1.0368952256941935"/>
    <n v="1.105007265554538"/>
    <n v="101.6606684310175"/>
    <n v="95.394360763865791"/>
    <n v="6.2663076671517075"/>
    <n v="0.34218487646728929"/>
    <n v="6.608492543618997"/>
    <n v="0"/>
    <n v="0"/>
    <n v="0"/>
    <n v="6.608492543618997"/>
  </r>
  <r>
    <x v="4"/>
    <d v="2022-06-03T00:00:00"/>
    <d v="2022-06-23T00:00:00"/>
    <x v="2"/>
    <n v="9"/>
    <n v="131"/>
    <n v="1.0368952256941935"/>
    <n v="1.105007265554538"/>
    <n v="144.75595178764448"/>
    <n v="135.83327456593935"/>
    <n v="8.9226772217051291"/>
    <n v="0.48724150888277062"/>
    <n v="9.4099187305879006"/>
    <n v="0"/>
    <n v="0"/>
    <n v="0"/>
    <n v="9.4099187305879006"/>
  </r>
  <r>
    <x v="5"/>
    <d v="2022-07-05T00:00:00"/>
    <d v="2022-07-25T00:00:00"/>
    <x v="2"/>
    <n v="9"/>
    <n v="152"/>
    <n v="1.0368952256941935"/>
    <n v="1.105007265554538"/>
    <n v="167.96110436428978"/>
    <n v="157.60807430551739"/>
    <n v="10.35303005877239"/>
    <n v="0.56534892633726064"/>
    <n v="10.918378985109651"/>
    <n v="0"/>
    <n v="0"/>
    <n v="0"/>
    <n v="10.918378985109651"/>
  </r>
  <r>
    <x v="6"/>
    <d v="2022-08-03T00:00:00"/>
    <d v="2022-08-23T00:00:00"/>
    <x v="2"/>
    <n v="9"/>
    <n v="149"/>
    <n v="1.0368952256941935"/>
    <n v="1.105007265554538"/>
    <n v="164.64608256762617"/>
    <n v="154.49738862843483"/>
    <n v="10.148693939191332"/>
    <n v="0.554190723843762"/>
    <n v="10.702884663035094"/>
    <n v="0"/>
    <n v="0"/>
    <n v="0"/>
    <n v="10.702884663035094"/>
  </r>
  <r>
    <x v="7"/>
    <d v="2022-09-05T00:00:00"/>
    <d v="2022-09-23T00:00:00"/>
    <x v="2"/>
    <n v="9"/>
    <n v="137"/>
    <n v="1.0368952256941935"/>
    <n v="1.105007265554538"/>
    <n v="151.38599538097171"/>
    <n v="142.05464592010449"/>
    <n v="9.3313494608672158"/>
    <n v="0.50955791386976779"/>
    <n v="9.8409073747369842"/>
    <n v="0"/>
    <n v="0"/>
    <n v="0"/>
    <n v="9.8409073747369842"/>
  </r>
  <r>
    <x v="8"/>
    <d v="2022-10-05T00:00:00"/>
    <d v="2022-10-25T00:00:00"/>
    <x v="2"/>
    <n v="9"/>
    <n v="136"/>
    <n v="1.0368952256941935"/>
    <n v="1.105007265554538"/>
    <n v="150.28098811541716"/>
    <n v="141.01775069441032"/>
    <n v="9.2632374210068349"/>
    <n v="0.50583851303860161"/>
    <n v="9.7690759340454356"/>
    <n v="0"/>
    <n v="0"/>
    <n v="0"/>
    <n v="9.7690759340454356"/>
  </r>
  <r>
    <x v="9"/>
    <d v="2022-11-03T00:00:00"/>
    <d v="2022-11-23T00:00:00"/>
    <x v="2"/>
    <n v="9"/>
    <n v="91"/>
    <n v="1.0368952256941935"/>
    <n v="1.105007265554538"/>
    <n v="100.55566116546295"/>
    <n v="94.35746553817161"/>
    <n v="6.1981956272913408"/>
    <n v="0.33846547563612306"/>
    <n v="6.5366611029274635"/>
    <n v="0"/>
    <n v="0"/>
    <n v="0"/>
    <n v="6.5366611029274635"/>
  </r>
  <r>
    <x v="10"/>
    <d v="2022-12-05T00:00:00"/>
    <d v="2022-12-23T00:00:00"/>
    <x v="2"/>
    <n v="9"/>
    <n v="113"/>
    <n v="1.0368952256941935"/>
    <n v="1.105007265554538"/>
    <n v="124.86582100766279"/>
    <n v="117.16916050344386"/>
    <n v="7.6966605042189258"/>
    <n v="0.42029229392177925"/>
    <n v="8.116952798140705"/>
    <n v="0"/>
    <n v="0"/>
    <n v="0"/>
    <n v="8.116952798140705"/>
  </r>
  <r>
    <x v="11"/>
    <d v="2023-01-04T00:00:00"/>
    <d v="2023-01-24T00:00:00"/>
    <x v="2"/>
    <n v="9"/>
    <n v="210"/>
    <n v="1.0368952256941935"/>
    <n v="1.105007265554538"/>
    <n v="232.05152576645298"/>
    <n v="217.74799739578063"/>
    <n v="14.303528370672353"/>
    <n v="0.78107417454489958"/>
    <n v="15.084602545217253"/>
    <n v="0"/>
    <n v="0"/>
    <n v="0"/>
    <n v="15.084602545217253"/>
  </r>
  <r>
    <x v="0"/>
    <d v="2022-02-03T00:00:00"/>
    <d v="2022-02-23T00:00:00"/>
    <x v="3"/>
    <n v="9"/>
    <n v="893"/>
    <n v="1.0368952256941935"/>
    <n v="1.105007265554538"/>
    <n v="986.77148814020245"/>
    <n v="925.94743654491481"/>
    <n v="60.824051595287642"/>
    <n v="3.3214249422314057"/>
    <n v="64.145476537519045"/>
    <n v="0"/>
    <n v="0"/>
    <n v="0"/>
    <n v="64.145476537519045"/>
  </r>
  <r>
    <x v="1"/>
    <d v="2022-03-03T00:00:00"/>
    <d v="2022-03-22T00:00:00"/>
    <x v="3"/>
    <n v="9"/>
    <n v="796"/>
    <n v="1.0368952256941935"/>
    <n v="1.105007265554538"/>
    <n v="879.58578338141228"/>
    <n v="825.36859965257804"/>
    <n v="54.217183728834243"/>
    <n v="2.9606430616082857"/>
    <n v="57.177826790442531"/>
    <n v="0"/>
    <n v="0"/>
    <n v="0"/>
    <n v="57.177826790442531"/>
  </r>
  <r>
    <x v="2"/>
    <d v="2022-04-05T00:00:00"/>
    <d v="2022-04-25T00:00:00"/>
    <x v="3"/>
    <n v="9"/>
    <n v="700"/>
    <n v="1.0368952256941935"/>
    <n v="1.105007265554538"/>
    <n v="773.50508588817661"/>
    <n v="725.82665798593541"/>
    <n v="47.678427902241197"/>
    <n v="2.6035805818163316"/>
    <n v="50.282008484057528"/>
    <n v="0"/>
    <n v="0"/>
    <n v="0"/>
    <n v="50.282008484057528"/>
  </r>
  <r>
    <x v="3"/>
    <d v="2022-05-04T00:00:00"/>
    <d v="2022-05-24T00:00:00"/>
    <x v="3"/>
    <n v="9"/>
    <n v="549"/>
    <n v="1.0368952256941935"/>
    <n v="1.105007265554538"/>
    <n v="606.64898878944132"/>
    <n v="569.25547890611222"/>
    <n v="37.393509883329102"/>
    <n v="2.041951056310237"/>
    <n v="39.435460939639341"/>
    <n v="0"/>
    <n v="0"/>
    <n v="0"/>
    <n v="39.435460939639341"/>
  </r>
  <r>
    <x v="4"/>
    <d v="2022-06-03T00:00:00"/>
    <d v="2022-06-23T00:00:00"/>
    <x v="3"/>
    <n v="9"/>
    <n v="753"/>
    <n v="1.0368952256941935"/>
    <n v="1.105007265554538"/>
    <n v="832.07047096256713"/>
    <n v="780.7821049477277"/>
    <n v="51.288366014839426"/>
    <n v="2.8007088258681394"/>
    <n v="54.089074840707568"/>
    <n v="0"/>
    <n v="0"/>
    <n v="0"/>
    <n v="54.089074840707568"/>
  </r>
  <r>
    <x v="5"/>
    <d v="2022-07-05T00:00:00"/>
    <d v="2022-07-25T00:00:00"/>
    <x v="3"/>
    <n v="9"/>
    <n v="942"/>
    <n v="1.0368952256941935"/>
    <n v="1.105007265554538"/>
    <n v="1040.9168441523748"/>
    <n v="976.7553026039302"/>
    <n v="64.161541548444575"/>
    <n v="3.5036755829585493"/>
    <n v="67.665217131403125"/>
    <n v="0"/>
    <n v="0"/>
    <n v="0"/>
    <n v="67.665217131403125"/>
  </r>
  <r>
    <x v="6"/>
    <d v="2022-08-03T00:00:00"/>
    <d v="2022-08-23T00:00:00"/>
    <x v="3"/>
    <n v="9"/>
    <n v="1036"/>
    <n v="1.0368952256941935"/>
    <n v="1.105007265554538"/>
    <n v="1144.7875271145012"/>
    <n v="1074.2234538191844"/>
    <n v="70.564073295316803"/>
    <n v="3.8532992610881704"/>
    <n v="74.41737255640497"/>
    <n v="0"/>
    <n v="0"/>
    <n v="0"/>
    <n v="74.41737255640497"/>
  </r>
  <r>
    <x v="7"/>
    <d v="2022-09-05T00:00:00"/>
    <d v="2022-09-23T00:00:00"/>
    <x v="3"/>
    <n v="9"/>
    <n v="954"/>
    <n v="1.0368952256941935"/>
    <n v="1.105007265554538"/>
    <n v="1054.1769313390294"/>
    <n v="989.19804531226055"/>
    <n v="64.978886026768805"/>
    <n v="3.5483083929325434"/>
    <n v="68.527194419701345"/>
    <n v="0"/>
    <n v="0"/>
    <n v="0"/>
    <n v="68.527194419701345"/>
  </r>
  <r>
    <x v="8"/>
    <d v="2022-10-05T00:00:00"/>
    <d v="2022-10-25T00:00:00"/>
    <x v="3"/>
    <n v="9"/>
    <n v="860"/>
    <n v="1.0368952256941935"/>
    <n v="1.105007265554538"/>
    <n v="950.30624837690266"/>
    <n v="891.72989409700642"/>
    <n v="58.576354279896236"/>
    <n v="3.1986847148029218"/>
    <n v="61.775038994699159"/>
    <n v="0"/>
    <n v="0"/>
    <n v="0"/>
    <n v="61.775038994699159"/>
  </r>
  <r>
    <x v="9"/>
    <d v="2022-11-03T00:00:00"/>
    <d v="2022-11-23T00:00:00"/>
    <x v="3"/>
    <n v="9"/>
    <n v="589"/>
    <n v="1.0368952256941935"/>
    <n v="1.105007265554538"/>
    <n v="650.84927941162289"/>
    <n v="610.73128793387991"/>
    <n v="40.117991477742976"/>
    <n v="2.1907270895568849"/>
    <n v="42.308718567299863"/>
    <n v="0"/>
    <n v="0"/>
    <n v="0"/>
    <n v="42.308718567299863"/>
  </r>
  <r>
    <x v="10"/>
    <d v="2022-12-05T00:00:00"/>
    <d v="2022-12-23T00:00:00"/>
    <x v="3"/>
    <n v="9"/>
    <n v="730"/>
    <n v="1.0368952256941935"/>
    <n v="1.105007265554538"/>
    <n v="806.6553038548127"/>
    <n v="756.93351475676127"/>
    <n v="49.721789098051431"/>
    <n v="2.7151626067513175"/>
    <n v="52.436951704802752"/>
    <n v="0"/>
    <n v="0"/>
    <n v="0"/>
    <n v="52.436951704802752"/>
  </r>
  <r>
    <x v="11"/>
    <d v="2023-01-04T00:00:00"/>
    <d v="2023-01-24T00:00:00"/>
    <x v="3"/>
    <n v="9"/>
    <n v="1123"/>
    <n v="1.0368952256941935"/>
    <n v="1.105007265554538"/>
    <n v="1240.9231592177462"/>
    <n v="1164.4333384545791"/>
    <n v="76.489820763167018"/>
    <n v="4.1768871333996289"/>
    <n v="80.666707896566649"/>
    <n v="0"/>
    <n v="0"/>
    <n v="0"/>
    <n v="80.666707896566649"/>
  </r>
  <r>
    <x v="0"/>
    <d v="2022-02-03T00:00:00"/>
    <d v="2022-02-23T00:00:00"/>
    <x v="4"/>
    <n v="9"/>
    <n v="48"/>
    <n v="1.0368952256941935"/>
    <n v="1.105007265554538"/>
    <n v="53.040348746617823"/>
    <n v="49.770970833321286"/>
    <n v="3.2693779132965375"/>
    <n v="0.17853123989597702"/>
    <n v="3.4479091531925143"/>
    <n v="0"/>
    <n v="0"/>
    <n v="0"/>
    <n v="3.4479091531925143"/>
  </r>
  <r>
    <x v="1"/>
    <d v="2022-03-03T00:00:00"/>
    <d v="2022-03-22T00:00:00"/>
    <x v="4"/>
    <n v="9"/>
    <n v="45"/>
    <n v="1.0368952256941935"/>
    <n v="1.105007265554538"/>
    <n v="49.725326949954209"/>
    <n v="46.660285156238707"/>
    <n v="3.0650417937155012"/>
    <n v="0.16737303740247847"/>
    <n v="3.2324148311179797"/>
    <n v="0"/>
    <n v="0"/>
    <n v="0"/>
    <n v="3.2324148311179797"/>
  </r>
  <r>
    <x v="2"/>
    <d v="2022-04-05T00:00:00"/>
    <d v="2022-04-25T00:00:00"/>
    <x v="4"/>
    <n v="9"/>
    <n v="38"/>
    <n v="1.0368952256941935"/>
    <n v="1.105007265554538"/>
    <n v="41.990276091072445"/>
    <n v="39.402018576379348"/>
    <n v="2.5882575146930975"/>
    <n v="0.14133723158431516"/>
    <n v="2.7295947462774128"/>
    <n v="0"/>
    <n v="0"/>
    <n v="0"/>
    <n v="2.7295947462774128"/>
  </r>
  <r>
    <x v="3"/>
    <d v="2022-05-04T00:00:00"/>
    <d v="2022-05-24T00:00:00"/>
    <x v="4"/>
    <n v="9"/>
    <n v="26"/>
    <n v="1.0368952256941935"/>
    <n v="1.105007265554538"/>
    <n v="28.730188904417986"/>
    <n v="26.95927586804903"/>
    <n v="1.770913036368956"/>
    <n v="9.6704421610320876E-2"/>
    <n v="1.8676174579792768"/>
    <n v="0"/>
    <n v="0"/>
    <n v="0"/>
    <n v="1.8676174579792768"/>
  </r>
  <r>
    <x v="4"/>
    <d v="2022-06-03T00:00:00"/>
    <d v="2022-06-23T00:00:00"/>
    <x v="4"/>
    <n v="9"/>
    <n v="43"/>
    <n v="1.0368952256941935"/>
    <n v="1.105007265554538"/>
    <n v="47.515312418845134"/>
    <n v="44.586494704850317"/>
    <n v="2.9288177139948175"/>
    <n v="0.15993423574014609"/>
    <n v="3.0887519497349638"/>
    <n v="0"/>
    <n v="0"/>
    <n v="0"/>
    <n v="3.0887519497349638"/>
  </r>
  <r>
    <x v="5"/>
    <d v="2022-07-05T00:00:00"/>
    <d v="2022-07-25T00:00:00"/>
    <x v="4"/>
    <n v="9"/>
    <n v="54"/>
    <n v="1.0368952256941935"/>
    <n v="1.105007265554538"/>
    <n v="59.670392339945053"/>
    <n v="55.992342187486443"/>
    <n v="3.67805015245861"/>
    <n v="0.20084764488297416"/>
    <n v="3.8788977973415841"/>
    <n v="0"/>
    <n v="0"/>
    <n v="0"/>
    <n v="3.8788977973415841"/>
  </r>
  <r>
    <x v="6"/>
    <d v="2022-08-03T00:00:00"/>
    <d v="2022-08-23T00:00:00"/>
    <x v="4"/>
    <n v="9"/>
    <n v="57"/>
    <n v="1.0368952256941935"/>
    <n v="1.105007265554538"/>
    <n v="62.985414136608668"/>
    <n v="59.103027864569029"/>
    <n v="3.8823862720396392"/>
    <n v="0.21200584737647271"/>
    <n v="4.0943921194161117"/>
    <n v="0"/>
    <n v="0"/>
    <n v="0"/>
    <n v="4.0943921194161117"/>
  </r>
  <r>
    <x v="7"/>
    <d v="2022-09-05T00:00:00"/>
    <d v="2022-09-23T00:00:00"/>
    <x v="4"/>
    <n v="9"/>
    <n v="54"/>
    <n v="1.0368952256941935"/>
    <n v="1.105007265554538"/>
    <n v="59.670392339945053"/>
    <n v="55.992342187486443"/>
    <n v="3.67805015245861"/>
    <n v="0.20084764488297416"/>
    <n v="3.8788977973415841"/>
    <n v="0"/>
    <n v="0"/>
    <n v="0"/>
    <n v="3.8788977973415841"/>
  </r>
  <r>
    <x v="8"/>
    <d v="2022-10-05T00:00:00"/>
    <d v="2022-10-25T00:00:00"/>
    <x v="4"/>
    <n v="9"/>
    <n v="53"/>
    <n v="1.0368952256941935"/>
    <n v="1.105007265554538"/>
    <n v="58.565385074390512"/>
    <n v="54.955446961792255"/>
    <n v="3.6099381125982575"/>
    <n v="0.19712824405180795"/>
    <n v="3.8070663566500653"/>
    <n v="0"/>
    <n v="0"/>
    <n v="0"/>
    <n v="3.8070663566500653"/>
  </r>
  <r>
    <x v="9"/>
    <d v="2022-11-03T00:00:00"/>
    <d v="2022-11-23T00:00:00"/>
    <x v="4"/>
    <n v="9"/>
    <n v="31"/>
    <n v="1.0368952256941935"/>
    <n v="1.105007265554538"/>
    <n v="34.255225232190675"/>
    <n v="32.143751996519995"/>
    <n v="2.1114732356706796"/>
    <n v="0.11530142576615182"/>
    <n v="2.2267746614368313"/>
    <n v="0"/>
    <n v="0"/>
    <n v="0"/>
    <n v="2.2267746614368313"/>
  </r>
  <r>
    <x v="10"/>
    <d v="2022-12-05T00:00:00"/>
    <d v="2022-12-23T00:00:00"/>
    <x v="4"/>
    <n v="9"/>
    <n v="38"/>
    <n v="1.0368952256941935"/>
    <n v="1.105007265554538"/>
    <n v="41.990276091072445"/>
    <n v="39.402018576379348"/>
    <n v="2.5882575146930975"/>
    <n v="0.14133723158431516"/>
    <n v="2.7295947462774128"/>
    <n v="0"/>
    <n v="0"/>
    <n v="0"/>
    <n v="2.7295947462774128"/>
  </r>
  <r>
    <x v="11"/>
    <d v="2023-01-04T00:00:00"/>
    <d v="2023-01-24T00:00:00"/>
    <x v="4"/>
    <n v="9"/>
    <n v="58"/>
    <n v="1.0368952256941935"/>
    <n v="1.105007265554538"/>
    <n v="64.090421402163201"/>
    <n v="60.139923090263224"/>
    <n v="3.9504983118999775"/>
    <n v="0.21572524820763891"/>
    <n v="4.1662235601076167"/>
    <n v="0"/>
    <n v="0"/>
    <n v="0"/>
    <n v="4.1662235601076167"/>
  </r>
  <r>
    <x v="0"/>
    <d v="2022-02-03T00:00:00"/>
    <d v="2022-02-23T00:00:00"/>
    <x v="5"/>
    <n v="9"/>
    <n v="50"/>
    <n v="1.0368952256941935"/>
    <n v="1.105007265554538"/>
    <n v="55.250363277726898"/>
    <n v="51.844761284709676"/>
    <n v="3.4056019930172212"/>
    <n v="0.1859700415583094"/>
    <n v="3.5915720345755306"/>
    <n v="0"/>
    <n v="0"/>
    <n v="0"/>
    <n v="3.5915720345755306"/>
  </r>
  <r>
    <x v="1"/>
    <d v="2022-03-03T00:00:00"/>
    <d v="2022-03-22T00:00:00"/>
    <x v="5"/>
    <n v="9"/>
    <n v="49"/>
    <n v="1.0368952256941935"/>
    <n v="1.105007265554538"/>
    <n v="54.145356012172364"/>
    <n v="50.807866059015481"/>
    <n v="3.3374899531568829"/>
    <n v="0.18225064072714323"/>
    <n v="3.519740593884026"/>
    <n v="0"/>
    <n v="0"/>
    <n v="0"/>
    <n v="3.519740593884026"/>
  </r>
  <r>
    <x v="2"/>
    <d v="2022-04-05T00:00:00"/>
    <d v="2022-04-25T00:00:00"/>
    <x v="5"/>
    <n v="9"/>
    <n v="45"/>
    <n v="1.0368952256941935"/>
    <n v="1.105007265554538"/>
    <n v="49.725326949954209"/>
    <n v="46.660285156238707"/>
    <n v="3.0650417937155012"/>
    <n v="0.16737303740247847"/>
    <n v="3.2324148311179797"/>
    <n v="0"/>
    <n v="0"/>
    <n v="0"/>
    <n v="3.2324148311179797"/>
  </r>
  <r>
    <x v="3"/>
    <d v="2022-05-04T00:00:00"/>
    <d v="2022-05-24T00:00:00"/>
    <x v="5"/>
    <n v="9"/>
    <n v="34"/>
    <n v="1.0368952256941935"/>
    <n v="1.105007265554538"/>
    <n v="37.57024702885429"/>
    <n v="35.254437673602581"/>
    <n v="2.3158093552517087"/>
    <n v="0.1264596282596504"/>
    <n v="2.4422689835113589"/>
    <n v="0"/>
    <n v="0"/>
    <n v="0"/>
    <n v="2.4422689835113589"/>
  </r>
  <r>
    <x v="4"/>
    <d v="2022-06-03T00:00:00"/>
    <d v="2022-06-23T00:00:00"/>
    <x v="5"/>
    <n v="9"/>
    <n v="42"/>
    <n v="1.0368952256941935"/>
    <n v="1.105007265554538"/>
    <n v="46.410305153290594"/>
    <n v="43.549599479156129"/>
    <n v="2.860705674134465"/>
    <n v="0.15621483490897989"/>
    <n v="3.016920509043445"/>
    <n v="0"/>
    <n v="0"/>
    <n v="0"/>
    <n v="3.016920509043445"/>
  </r>
  <r>
    <x v="5"/>
    <d v="2022-07-05T00:00:00"/>
    <d v="2022-07-25T00:00:00"/>
    <x v="5"/>
    <n v="9"/>
    <n v="49"/>
    <n v="1.0368952256941935"/>
    <n v="1.105007265554538"/>
    <n v="54.145356012172364"/>
    <n v="50.807866059015481"/>
    <n v="3.3374899531568829"/>
    <n v="0.18225064072714323"/>
    <n v="3.519740593884026"/>
    <n v="0"/>
    <n v="0"/>
    <n v="0"/>
    <n v="3.519740593884026"/>
  </r>
  <r>
    <x v="6"/>
    <d v="2022-08-03T00:00:00"/>
    <d v="2022-08-23T00:00:00"/>
    <x v="5"/>
    <n v="9"/>
    <n v="54"/>
    <n v="1.0368952256941935"/>
    <n v="1.105007265554538"/>
    <n v="59.670392339945053"/>
    <n v="55.992342187486443"/>
    <n v="3.67805015245861"/>
    <n v="0.20084764488297416"/>
    <n v="3.8788977973415841"/>
    <n v="0"/>
    <n v="0"/>
    <n v="0"/>
    <n v="3.8788977973415841"/>
  </r>
  <r>
    <x v="7"/>
    <d v="2022-09-05T00:00:00"/>
    <d v="2022-09-23T00:00:00"/>
    <x v="5"/>
    <n v="9"/>
    <n v="47"/>
    <n v="1.0368952256941935"/>
    <n v="1.105007265554538"/>
    <n v="51.935341481063283"/>
    <n v="48.734075607627091"/>
    <n v="3.2012658734361921"/>
    <n v="0.17481183906481085"/>
    <n v="3.3760777125010031"/>
    <n v="0"/>
    <n v="0"/>
    <n v="0"/>
    <n v="3.3760777125010031"/>
  </r>
  <r>
    <x v="8"/>
    <d v="2022-10-05T00:00:00"/>
    <d v="2022-10-25T00:00:00"/>
    <x v="5"/>
    <n v="9"/>
    <n v="47"/>
    <n v="1.0368952256941935"/>
    <n v="1.105007265554538"/>
    <n v="51.935341481063283"/>
    <n v="48.734075607627091"/>
    <n v="3.2012658734361921"/>
    <n v="0.17481183906481085"/>
    <n v="3.3760777125010031"/>
    <n v="0"/>
    <n v="0"/>
    <n v="0"/>
    <n v="3.3760777125010031"/>
  </r>
  <r>
    <x v="9"/>
    <d v="2022-11-03T00:00:00"/>
    <d v="2022-11-23T00:00:00"/>
    <x v="5"/>
    <n v="9"/>
    <n v="39"/>
    <n v="1.0368952256941935"/>
    <n v="1.105007265554538"/>
    <n v="43.095283356626979"/>
    <n v="40.438913802073543"/>
    <n v="2.6563695545534358"/>
    <n v="0.14505663241548133"/>
    <n v="2.801426186968917"/>
    <n v="0"/>
    <n v="0"/>
    <n v="0"/>
    <n v="2.801426186968917"/>
  </r>
  <r>
    <x v="10"/>
    <d v="2022-12-05T00:00:00"/>
    <d v="2022-12-23T00:00:00"/>
    <x v="5"/>
    <n v="9"/>
    <n v="45"/>
    <n v="1.0368952256941935"/>
    <n v="1.105007265554538"/>
    <n v="49.725326949954209"/>
    <n v="46.660285156238707"/>
    <n v="3.0650417937155012"/>
    <n v="0.16737303740247847"/>
    <n v="3.2324148311179797"/>
    <n v="0"/>
    <n v="0"/>
    <n v="0"/>
    <n v="3.2324148311179797"/>
  </r>
  <r>
    <x v="11"/>
    <d v="2023-01-04T00:00:00"/>
    <d v="2023-01-24T00:00:00"/>
    <x v="5"/>
    <n v="9"/>
    <n v="61"/>
    <n v="1.0368952256941935"/>
    <n v="1.105007265554538"/>
    <n v="67.405443198826816"/>
    <n v="63.250608767345803"/>
    <n v="4.1548344314810137"/>
    <n v="0.22688345070113747"/>
    <n v="4.3817178821821514"/>
    <n v="0"/>
    <n v="0"/>
    <n v="0"/>
    <n v="4.3817178821821514"/>
  </r>
  <r>
    <x v="0"/>
    <d v="2022-02-03T00:00:00"/>
    <d v="2022-02-23T00:00:00"/>
    <x v="6"/>
    <n v="9"/>
    <n v="92"/>
    <n v="1.0368952256941935"/>
    <n v="1.105007265554538"/>
    <n v="101.6606684310175"/>
    <n v="95.394360763865791"/>
    <n v="6.2663076671517075"/>
    <n v="0.34218487646728929"/>
    <n v="6.608492543618997"/>
    <n v="0"/>
    <n v="0"/>
    <n v="0"/>
    <n v="6.608492543618997"/>
  </r>
  <r>
    <x v="1"/>
    <d v="2022-03-03T00:00:00"/>
    <d v="2022-03-22T00:00:00"/>
    <x v="6"/>
    <n v="9"/>
    <n v="88"/>
    <n v="1.0368952256941935"/>
    <n v="1.105007265554538"/>
    <n v="97.24063936879935"/>
    <n v="91.246779861089024"/>
    <n v="5.9938595077103258"/>
    <n v="0.32730727314262453"/>
    <n v="6.3211667808529501"/>
    <n v="0"/>
    <n v="0"/>
    <n v="0"/>
    <n v="6.3211667808529501"/>
  </r>
  <r>
    <x v="2"/>
    <d v="2022-04-05T00:00:00"/>
    <d v="2022-04-25T00:00:00"/>
    <x v="6"/>
    <n v="9"/>
    <n v="71"/>
    <n v="1.0368952256941935"/>
    <n v="1.105007265554538"/>
    <n v="78.455515854372194"/>
    <n v="73.619561024287734"/>
    <n v="4.8359548300844608"/>
    <n v="0.26407745901279933"/>
    <n v="5.1000322890972605"/>
    <n v="0"/>
    <n v="0"/>
    <n v="0"/>
    <n v="5.1000322890972605"/>
  </r>
  <r>
    <x v="3"/>
    <d v="2022-05-04T00:00:00"/>
    <d v="2022-05-24T00:00:00"/>
    <x v="6"/>
    <n v="9"/>
    <n v="76"/>
    <n v="1.0368952256941935"/>
    <n v="1.105007265554538"/>
    <n v="83.980552182144891"/>
    <n v="78.804037152758696"/>
    <n v="5.176515029386195"/>
    <n v="0.28267446316863032"/>
    <n v="5.4591894925548257"/>
    <n v="0"/>
    <n v="0"/>
    <n v="0"/>
    <n v="5.4591894925548257"/>
  </r>
  <r>
    <x v="4"/>
    <d v="2022-06-03T00:00:00"/>
    <d v="2022-06-23T00:00:00"/>
    <x v="6"/>
    <n v="9"/>
    <n v="134"/>
    <n v="1.0368952256941935"/>
    <n v="1.105007265554538"/>
    <n v="148.07097358430809"/>
    <n v="138.94396024302193"/>
    <n v="9.1270133412861583"/>
    <n v="0.49839971137626921"/>
    <n v="9.6254130526624273"/>
    <n v="0"/>
    <n v="0"/>
    <n v="0"/>
    <n v="9.6254130526624273"/>
  </r>
  <r>
    <x v="5"/>
    <d v="2022-07-05T00:00:00"/>
    <d v="2022-07-25T00:00:00"/>
    <x v="6"/>
    <n v="9"/>
    <n v="145"/>
    <n v="1.0368952256941935"/>
    <n v="1.105007265554538"/>
    <n v="160.226053505408"/>
    <n v="150.34980772565805"/>
    <n v="9.8762457797499508"/>
    <n v="0.5393131205190973"/>
    <n v="10.415558900269048"/>
    <n v="0"/>
    <n v="0"/>
    <n v="0"/>
    <n v="10.415558900269048"/>
  </r>
  <r>
    <x v="6"/>
    <d v="2022-08-03T00:00:00"/>
    <d v="2022-08-23T00:00:00"/>
    <x v="6"/>
    <n v="9"/>
    <n v="161"/>
    <n v="1.0368952256941935"/>
    <n v="1.105007265554538"/>
    <n v="177.90616975428063"/>
    <n v="166.94013133676515"/>
    <n v="10.966038417515477"/>
    <n v="0.59882353381775622"/>
    <n v="11.564861951333233"/>
    <n v="0"/>
    <n v="0"/>
    <n v="0"/>
    <n v="11.564861951333233"/>
  </r>
  <r>
    <x v="7"/>
    <d v="2022-09-05T00:00:00"/>
    <d v="2022-09-23T00:00:00"/>
    <x v="6"/>
    <n v="9"/>
    <n v="154"/>
    <n v="1.0368952256941935"/>
    <n v="1.105007265554538"/>
    <n v="170.17111889539885"/>
    <n v="159.68186475690578"/>
    <n v="10.489254138493067"/>
    <n v="0.57278772799959299"/>
    <n v="11.06204186649266"/>
    <n v="0"/>
    <n v="0"/>
    <n v="0"/>
    <n v="11.06204186649266"/>
  </r>
  <r>
    <x v="8"/>
    <d v="2022-10-05T00:00:00"/>
    <d v="2022-10-25T00:00:00"/>
    <x v="6"/>
    <n v="9"/>
    <n v="132"/>
    <n v="1.0368952256941935"/>
    <n v="1.105007265554538"/>
    <n v="145.86095905319902"/>
    <n v="136.87016979163354"/>
    <n v="8.9907892615654816"/>
    <n v="0.4909609097139368"/>
    <n v="9.481750171279419"/>
    <n v="0"/>
    <n v="0"/>
    <n v="0"/>
    <n v="9.481750171279419"/>
  </r>
  <r>
    <x v="9"/>
    <d v="2022-11-03T00:00:00"/>
    <d v="2022-11-23T00:00:00"/>
    <x v="6"/>
    <n v="9"/>
    <n v="91"/>
    <n v="1.0368952256941935"/>
    <n v="1.105007265554538"/>
    <n v="100.55566116546295"/>
    <n v="94.35746553817161"/>
    <n v="6.1981956272913408"/>
    <n v="0.33846547563612306"/>
    <n v="6.5366611029274635"/>
    <n v="0"/>
    <n v="0"/>
    <n v="0"/>
    <n v="6.5366611029274635"/>
  </r>
  <r>
    <x v="10"/>
    <d v="2022-12-05T00:00:00"/>
    <d v="2022-12-23T00:00:00"/>
    <x v="6"/>
    <n v="9"/>
    <n v="67"/>
    <n v="1.0368952256941935"/>
    <n v="1.105007265554538"/>
    <n v="74.035486792154046"/>
    <n v="69.471980121510967"/>
    <n v="4.5635066706430791"/>
    <n v="0.2491998556881346"/>
    <n v="4.8127065263312137"/>
    <n v="0"/>
    <n v="0"/>
    <n v="0"/>
    <n v="4.8127065263312137"/>
  </r>
  <r>
    <x v="11"/>
    <d v="2023-01-04T00:00:00"/>
    <d v="2023-01-24T00:00:00"/>
    <x v="6"/>
    <n v="9"/>
    <n v="96"/>
    <n v="1.0368952256941935"/>
    <n v="1.105007265554538"/>
    <n v="106.08069749323565"/>
    <n v="99.541941666642572"/>
    <n v="6.538755826593075"/>
    <n v="0.35706247979195405"/>
    <n v="6.8958183063850287"/>
    <n v="0"/>
    <n v="0"/>
    <n v="0"/>
    <n v="6.8958183063850287"/>
  </r>
  <r>
    <x v="0"/>
    <d v="2022-02-03T00:00:00"/>
    <d v="2022-02-23T00:00:00"/>
    <x v="7"/>
    <n v="9"/>
    <n v="42"/>
    <n v="1.0368952256941935"/>
    <n v="1.105007265554538"/>
    <n v="46.410305153290594"/>
    <n v="43.549599479156129"/>
    <n v="2.860705674134465"/>
    <n v="0.15621483490897989"/>
    <n v="3.016920509043445"/>
    <n v="0"/>
    <n v="0"/>
    <n v="0"/>
    <n v="3.016920509043445"/>
  </r>
  <r>
    <x v="1"/>
    <d v="2022-03-03T00:00:00"/>
    <d v="2022-03-22T00:00:00"/>
    <x v="7"/>
    <n v="9"/>
    <n v="43"/>
    <n v="1.0368952256941935"/>
    <n v="1.105007265554538"/>
    <n v="47.515312418845134"/>
    <n v="44.586494704850317"/>
    <n v="2.9288177139948175"/>
    <n v="0.15993423574014609"/>
    <n v="3.0887519497349638"/>
    <n v="0"/>
    <n v="0"/>
    <n v="0"/>
    <n v="3.0887519497349638"/>
  </r>
  <r>
    <x v="2"/>
    <d v="2022-04-05T00:00:00"/>
    <d v="2022-04-25T00:00:00"/>
    <x v="7"/>
    <n v="9"/>
    <n v="42"/>
    <n v="1.0368952256941935"/>
    <n v="1.105007265554538"/>
    <n v="46.410305153290594"/>
    <n v="43.549599479156129"/>
    <n v="2.860705674134465"/>
    <n v="0.15621483490897989"/>
    <n v="3.016920509043445"/>
    <n v="0"/>
    <n v="0"/>
    <n v="0"/>
    <n v="3.016920509043445"/>
  </r>
  <r>
    <x v="3"/>
    <d v="2022-05-04T00:00:00"/>
    <d v="2022-05-24T00:00:00"/>
    <x v="7"/>
    <n v="9"/>
    <n v="52"/>
    <n v="1.0368952256941935"/>
    <n v="1.105007265554538"/>
    <n v="57.460377808835972"/>
    <n v="53.91855173609806"/>
    <n v="3.5418260727379121"/>
    <n v="0.19340884322064175"/>
    <n v="3.7352349159585536"/>
    <n v="0"/>
    <n v="0"/>
    <n v="0"/>
    <n v="3.7352349159585536"/>
  </r>
  <r>
    <x v="4"/>
    <d v="2022-06-03T00:00:00"/>
    <d v="2022-06-23T00:00:00"/>
    <x v="7"/>
    <n v="9"/>
    <n v="52"/>
    <n v="1.0368952256941935"/>
    <n v="1.105007265554538"/>
    <n v="57.460377808835972"/>
    <n v="53.91855173609806"/>
    <n v="3.5418260727379121"/>
    <n v="0.19340884322064175"/>
    <n v="3.7352349159585536"/>
    <n v="0"/>
    <n v="0"/>
    <n v="0"/>
    <n v="3.7352349159585536"/>
  </r>
  <r>
    <x v="5"/>
    <d v="2022-07-05T00:00:00"/>
    <d v="2022-07-25T00:00:00"/>
    <x v="7"/>
    <n v="9"/>
    <n v="56"/>
    <n v="1.0368952256941935"/>
    <n v="1.105007265554538"/>
    <n v="61.880406871054127"/>
    <n v="58.066132638874834"/>
    <n v="3.8142742321792937"/>
    <n v="0.20828644654530651"/>
    <n v="4.0225606787246004"/>
    <n v="0"/>
    <n v="0"/>
    <n v="0"/>
    <n v="4.0225606787246004"/>
  </r>
  <r>
    <x v="6"/>
    <d v="2022-08-03T00:00:00"/>
    <d v="2022-08-23T00:00:00"/>
    <x v="7"/>
    <n v="9"/>
    <n v="58"/>
    <n v="1.0368952256941935"/>
    <n v="1.105007265554538"/>
    <n v="64.090421402163201"/>
    <n v="60.139923090263224"/>
    <n v="3.9504983118999775"/>
    <n v="0.21572524820763891"/>
    <n v="4.1662235601076167"/>
    <n v="0"/>
    <n v="0"/>
    <n v="0"/>
    <n v="4.1662235601076167"/>
  </r>
  <r>
    <x v="7"/>
    <d v="2022-09-05T00:00:00"/>
    <d v="2022-09-23T00:00:00"/>
    <x v="7"/>
    <n v="9"/>
    <n v="60"/>
    <n v="1.0368952256941935"/>
    <n v="1.105007265554538"/>
    <n v="66.300435933272283"/>
    <n v="62.213713541651607"/>
    <n v="4.0867223916206754"/>
    <n v="0.22316404986997126"/>
    <n v="4.3098864414906464"/>
    <n v="0"/>
    <n v="0"/>
    <n v="0"/>
    <n v="4.3098864414906464"/>
  </r>
  <r>
    <x v="8"/>
    <d v="2022-10-05T00:00:00"/>
    <d v="2022-10-25T00:00:00"/>
    <x v="7"/>
    <n v="9"/>
    <n v="58"/>
    <n v="1.0368952256941935"/>
    <n v="1.105007265554538"/>
    <n v="64.090421402163201"/>
    <n v="60.139923090263224"/>
    <n v="3.9504983118999775"/>
    <n v="0.21572524820763891"/>
    <n v="4.1662235601076167"/>
    <n v="0"/>
    <n v="0"/>
    <n v="0"/>
    <n v="4.1662235601076167"/>
  </r>
  <r>
    <x v="9"/>
    <d v="2022-11-03T00:00:00"/>
    <d v="2022-11-23T00:00:00"/>
    <x v="7"/>
    <n v="9"/>
    <n v="56"/>
    <n v="1.0368952256941935"/>
    <n v="1.105007265554538"/>
    <n v="61.880406871054127"/>
    <n v="58.066132638874834"/>
    <n v="3.8142742321792937"/>
    <n v="0.20828644654530651"/>
    <n v="4.0225606787246004"/>
    <n v="0"/>
    <n v="0"/>
    <n v="0"/>
    <n v="4.0225606787246004"/>
  </r>
  <r>
    <x v="10"/>
    <d v="2022-12-05T00:00:00"/>
    <d v="2022-12-23T00:00:00"/>
    <x v="7"/>
    <n v="9"/>
    <n v="59"/>
    <n v="1.0368952256941935"/>
    <n v="1.105007265554538"/>
    <n v="65.195428667717735"/>
    <n v="61.176818315957412"/>
    <n v="4.0186103517603229"/>
    <n v="0.21944464903880512"/>
    <n v="4.238055000799128"/>
    <n v="0"/>
    <n v="0"/>
    <n v="0"/>
    <n v="4.238055000799128"/>
  </r>
  <r>
    <x v="11"/>
    <d v="2023-01-04T00:00:00"/>
    <d v="2023-01-24T00:00:00"/>
    <x v="7"/>
    <n v="9"/>
    <n v="58"/>
    <n v="1.0368952256941935"/>
    <n v="1.105007265554538"/>
    <n v="64.090421402163201"/>
    <n v="60.139923090263224"/>
    <n v="3.9504983118999775"/>
    <n v="0.21572524820763891"/>
    <n v="4.1662235601076167"/>
    <n v="0"/>
    <n v="0"/>
    <n v="0"/>
    <n v="4.1662235601076167"/>
  </r>
  <r>
    <x v="0"/>
    <d v="2022-02-03T00:00:00"/>
    <d v="2022-02-23T00:00:00"/>
    <x v="8"/>
    <n v="9"/>
    <n v="1045"/>
    <n v="1.0368952256941935"/>
    <n v="1.105007265554538"/>
    <n v="1154.7325925044922"/>
    <n v="1083.5555108504323"/>
    <n v="71.177081654059975"/>
    <n v="3.8867738685686666"/>
    <n v="75.063855522628643"/>
    <n v="0"/>
    <n v="0"/>
    <n v="0"/>
    <n v="75.063855522628643"/>
  </r>
  <r>
    <x v="1"/>
    <d v="2022-03-03T00:00:00"/>
    <d v="2022-03-22T00:00:00"/>
    <x v="8"/>
    <n v="9"/>
    <n v="1114"/>
    <n v="1.0368952256941935"/>
    <n v="1.105007265554538"/>
    <n v="1230.9780938277554"/>
    <n v="1155.1012814233316"/>
    <n v="75.876812404423845"/>
    <n v="4.1434125259191337"/>
    <n v="80.020224930342977"/>
    <n v="0"/>
    <n v="0"/>
    <n v="0"/>
    <n v="80.020224930342977"/>
  </r>
  <r>
    <x v="2"/>
    <d v="2022-04-05T00:00:00"/>
    <d v="2022-04-25T00:00:00"/>
    <x v="8"/>
    <n v="9"/>
    <n v="977"/>
    <n v="1.0368952256941935"/>
    <n v="1.105007265554538"/>
    <n v="1079.5920984467837"/>
    <n v="1013.046635503227"/>
    <n v="66.545462943556686"/>
    <n v="3.6338546120493653"/>
    <n v="70.179317555606048"/>
    <n v="0"/>
    <n v="0"/>
    <n v="0"/>
    <n v="70.179317555606048"/>
  </r>
  <r>
    <x v="3"/>
    <d v="2022-05-04T00:00:00"/>
    <d v="2022-05-24T00:00:00"/>
    <x v="8"/>
    <n v="9"/>
    <n v="539"/>
    <n v="1.0368952256941935"/>
    <n v="1.105007265554538"/>
    <n v="595.59891613389595"/>
    <n v="558.88652664917026"/>
    <n v="36.712389484725691"/>
    <n v="2.0047570479985755"/>
    <n v="38.717146532724264"/>
    <n v="0"/>
    <n v="0"/>
    <n v="0"/>
    <n v="38.717146532724264"/>
  </r>
  <r>
    <x v="4"/>
    <d v="2022-06-03T00:00:00"/>
    <d v="2022-06-23T00:00:00"/>
    <x v="8"/>
    <n v="9"/>
    <n v="754"/>
    <n v="1.0368952256941935"/>
    <n v="1.105007265554538"/>
    <n v="833.17547822812162"/>
    <n v="781.81900017342184"/>
    <n v="51.356478054699778"/>
    <n v="2.8044282266993057"/>
    <n v="54.160906281399086"/>
    <n v="0"/>
    <n v="0"/>
    <n v="0"/>
    <n v="54.160906281399086"/>
  </r>
  <r>
    <x v="5"/>
    <d v="2022-07-05T00:00:00"/>
    <d v="2022-07-25T00:00:00"/>
    <x v="8"/>
    <n v="9"/>
    <n v="946"/>
    <n v="1.0368952256941935"/>
    <n v="1.105007265554538"/>
    <n v="1045.336873214593"/>
    <n v="980.90288350670698"/>
    <n v="64.433989707885985"/>
    <n v="3.518553186283214"/>
    <n v="67.952542894169198"/>
    <n v="0"/>
    <n v="0"/>
    <n v="0"/>
    <n v="67.952542894169198"/>
  </r>
  <r>
    <x v="6"/>
    <d v="2022-08-03T00:00:00"/>
    <d v="2022-08-23T00:00:00"/>
    <x v="8"/>
    <n v="9"/>
    <n v="979"/>
    <n v="1.0368952256941935"/>
    <n v="1.105007265554538"/>
    <n v="1081.8021129778926"/>
    <n v="1015.1204259546154"/>
    <n v="66.681687023277277"/>
    <n v="3.6412934137116979"/>
    <n v="70.322980436988971"/>
    <n v="0"/>
    <n v="0"/>
    <n v="0"/>
    <n v="70.322980436988971"/>
  </r>
  <r>
    <x v="7"/>
    <d v="2022-09-05T00:00:00"/>
    <d v="2022-09-23T00:00:00"/>
    <x v="8"/>
    <n v="9"/>
    <n v="973"/>
    <n v="1.0368952256941935"/>
    <n v="1.105007265554538"/>
    <n v="1075.1720693845655"/>
    <n v="1008.8990546004502"/>
    <n v="66.273014784115276"/>
    <n v="3.6189770087247006"/>
    <n v="69.891991792839974"/>
    <n v="0"/>
    <n v="0"/>
    <n v="0"/>
    <n v="69.891991792839974"/>
  </r>
  <r>
    <x v="8"/>
    <d v="2022-10-05T00:00:00"/>
    <d v="2022-10-25T00:00:00"/>
    <x v="8"/>
    <n v="9"/>
    <n v="847"/>
    <n v="1.0368952256941935"/>
    <n v="1.105007265554538"/>
    <n v="935.94115392469371"/>
    <n v="878.25025616298183"/>
    <n v="57.690897761711881"/>
    <n v="3.1503325039977614"/>
    <n v="60.84123026570964"/>
    <n v="0"/>
    <n v="0"/>
    <n v="0"/>
    <n v="60.84123026570964"/>
  </r>
  <r>
    <x v="9"/>
    <d v="2022-11-03T00:00:00"/>
    <d v="2022-11-23T00:00:00"/>
    <x v="8"/>
    <n v="9"/>
    <n v="609"/>
    <n v="1.0368952256941935"/>
    <n v="1.105007265554538"/>
    <n v="672.94942472271362"/>
    <n v="631.46919244776382"/>
    <n v="41.480232274949799"/>
    <n v="2.2651151061802084"/>
    <n v="43.74534738113001"/>
    <n v="0"/>
    <n v="0"/>
    <n v="0"/>
    <n v="43.74534738113001"/>
  </r>
  <r>
    <x v="10"/>
    <d v="2022-12-05T00:00:00"/>
    <d v="2022-12-23T00:00:00"/>
    <x v="8"/>
    <n v="9"/>
    <n v="807"/>
    <n v="1.0368952256941935"/>
    <n v="1.105007265554538"/>
    <n v="891.74086330251214"/>
    <n v="836.77444713521413"/>
    <n v="54.966416167298007"/>
    <n v="3.0015564707511135"/>
    <n v="57.967972638049119"/>
    <n v="0"/>
    <n v="0"/>
    <n v="0"/>
    <n v="57.967972638049119"/>
  </r>
  <r>
    <x v="11"/>
    <d v="2023-01-04T00:00:00"/>
    <d v="2023-01-24T00:00:00"/>
    <x v="8"/>
    <n v="9"/>
    <n v="1434"/>
    <n v="1.0368952256941935"/>
    <n v="1.105007265554538"/>
    <n v="1584.5804188052075"/>
    <n v="1486.9077536454733"/>
    <n v="97.672665159734152"/>
    <n v="5.3336207918923133"/>
    <n v="103.00628595162647"/>
    <n v="0"/>
    <n v="0"/>
    <n v="0"/>
    <n v="103.00628595162647"/>
  </r>
  <r>
    <x v="0"/>
    <d v="2022-02-03T00:00:00"/>
    <d v="2022-02-23T00:00:00"/>
    <x v="9"/>
    <n v="9"/>
    <n v="8"/>
    <n v="1.0368952256941935"/>
    <n v="1.105007265554538"/>
    <n v="8.8400581244363039"/>
    <n v="8.2951618055535477"/>
    <n v="0.54489631888275625"/>
    <n v="2.9755206649329506E-2"/>
    <n v="0.57465152553208576"/>
    <n v="0"/>
    <n v="0"/>
    <n v="0"/>
    <n v="0.57465152553208576"/>
  </r>
  <r>
    <x v="1"/>
    <d v="2022-03-03T00:00:00"/>
    <d v="2022-03-22T00:00:00"/>
    <x v="9"/>
    <n v="9"/>
    <n v="7"/>
    <n v="1.0368952256941935"/>
    <n v="1.105007265554538"/>
    <n v="7.7350508588817659"/>
    <n v="7.2582665798593542"/>
    <n v="0.47678427902241172"/>
    <n v="2.6035805818163314E-2"/>
    <n v="0.50282008484057505"/>
    <n v="0"/>
    <n v="0"/>
    <n v="0"/>
    <n v="0.50282008484057505"/>
  </r>
  <r>
    <x v="2"/>
    <d v="2022-04-05T00:00:00"/>
    <d v="2022-04-25T00:00:00"/>
    <x v="9"/>
    <n v="9"/>
    <n v="5"/>
    <n v="1.0368952256941935"/>
    <n v="1.105007265554538"/>
    <n v="5.5250363277726899"/>
    <n v="5.1844761284709673"/>
    <n v="0.34056019930172265"/>
    <n v="1.8597004155830939E-2"/>
    <n v="0.35915720345755359"/>
    <n v="0"/>
    <n v="0"/>
    <n v="0"/>
    <n v="0.35915720345755359"/>
  </r>
  <r>
    <x v="3"/>
    <d v="2022-05-04T00:00:00"/>
    <d v="2022-05-24T00:00:00"/>
    <x v="9"/>
    <n v="9"/>
    <n v="7"/>
    <n v="1.0368952256941935"/>
    <n v="1.105007265554538"/>
    <n v="7.7350508588817659"/>
    <n v="7.2582665798593542"/>
    <n v="0.47678427902241172"/>
    <n v="2.6035805818163314E-2"/>
    <n v="0.50282008484057505"/>
    <n v="0"/>
    <n v="0"/>
    <n v="0"/>
    <n v="0.50282008484057505"/>
  </r>
  <r>
    <x v="4"/>
    <d v="2022-06-03T00:00:00"/>
    <d v="2022-06-23T00:00:00"/>
    <x v="9"/>
    <n v="9"/>
    <n v="10"/>
    <n v="1.0368952256941935"/>
    <n v="1.105007265554538"/>
    <n v="11.05007265554538"/>
    <n v="10.368952256941935"/>
    <n v="0.68112039860344531"/>
    <n v="3.7194008311661877E-2"/>
    <n v="0.71831440691510717"/>
    <n v="0"/>
    <n v="0"/>
    <n v="0"/>
    <n v="0.71831440691510717"/>
  </r>
  <r>
    <x v="5"/>
    <d v="2022-07-05T00:00:00"/>
    <d v="2022-07-25T00:00:00"/>
    <x v="9"/>
    <n v="9"/>
    <n v="14"/>
    <n v="1.0368952256941935"/>
    <n v="1.105007265554538"/>
    <n v="15.470101717763532"/>
    <n v="14.516533159718708"/>
    <n v="0.95356855804482343"/>
    <n v="5.2071611636326627E-2"/>
    <n v="1.0056401696811501"/>
    <n v="0"/>
    <n v="0"/>
    <n v="0"/>
    <n v="1.0056401696811501"/>
  </r>
  <r>
    <x v="6"/>
    <d v="2022-08-03T00:00:00"/>
    <d v="2022-08-23T00:00:00"/>
    <x v="9"/>
    <n v="9"/>
    <n v="18"/>
    <n v="1.0368952256941935"/>
    <n v="1.105007265554538"/>
    <n v="19.890130779981682"/>
    <n v="18.664114062495482"/>
    <n v="1.2260167174861998"/>
    <n v="6.6949214960991391E-2"/>
    <n v="1.2929659324471912"/>
    <n v="0"/>
    <n v="0"/>
    <n v="0"/>
    <n v="1.2929659324471912"/>
  </r>
  <r>
    <x v="7"/>
    <d v="2022-09-05T00:00:00"/>
    <d v="2022-09-23T00:00:00"/>
    <x v="9"/>
    <n v="9"/>
    <n v="16"/>
    <n v="1.0368952256941935"/>
    <n v="1.105007265554538"/>
    <n v="17.680116248872608"/>
    <n v="16.590323611107095"/>
    <n v="1.0897926377655125"/>
    <n v="5.9510413298659012E-2"/>
    <n v="1.1493030510641715"/>
    <n v="0"/>
    <n v="0"/>
    <n v="0"/>
    <n v="1.1493030510641715"/>
  </r>
  <r>
    <x v="8"/>
    <d v="2022-10-05T00:00:00"/>
    <d v="2022-10-25T00:00:00"/>
    <x v="9"/>
    <n v="9"/>
    <n v="9"/>
    <n v="1.0368952256941935"/>
    <n v="1.105007265554538"/>
    <n v="9.945065389990841"/>
    <n v="9.3320570312477411"/>
    <n v="0.61300835874309989"/>
    <n v="3.3474607480495695E-2"/>
    <n v="0.64648296622359558"/>
    <n v="0"/>
    <n v="0"/>
    <n v="0"/>
    <n v="0.64648296622359558"/>
  </r>
  <r>
    <x v="9"/>
    <d v="2022-11-03T00:00:00"/>
    <d v="2022-11-23T00:00:00"/>
    <x v="9"/>
    <n v="9"/>
    <n v="6"/>
    <n v="1.0368952256941935"/>
    <n v="1.105007265554538"/>
    <n v="6.6300435933272279"/>
    <n v="6.2213713541651607"/>
    <n v="0.40867223916206719"/>
    <n v="2.2316404986997128E-2"/>
    <n v="0.43098864414906429"/>
    <n v="0"/>
    <n v="0"/>
    <n v="0"/>
    <n v="0.43098864414906429"/>
  </r>
  <r>
    <x v="10"/>
    <d v="2022-12-05T00:00:00"/>
    <d v="2022-12-23T00:00:00"/>
    <x v="9"/>
    <n v="9"/>
    <n v="6"/>
    <n v="1.0368952256941935"/>
    <n v="1.105007265554538"/>
    <n v="6.6300435933272279"/>
    <n v="6.2213713541651607"/>
    <n v="0.40867223916206719"/>
    <n v="2.2316404986997128E-2"/>
    <n v="0.43098864414906429"/>
    <n v="0"/>
    <n v="0"/>
    <n v="0"/>
    <n v="0.43098864414906429"/>
  </r>
  <r>
    <x v="11"/>
    <d v="2023-01-04T00:00:00"/>
    <d v="2023-01-24T00:00:00"/>
    <x v="9"/>
    <n v="9"/>
    <n v="8"/>
    <n v="1.0368952256941935"/>
    <n v="1.105007265554538"/>
    <n v="8.8400581244363039"/>
    <n v="8.2951618055535477"/>
    <n v="0.54489631888275625"/>
    <n v="2.9755206649329506E-2"/>
    <n v="0.57465152553208576"/>
    <n v="0"/>
    <n v="0"/>
    <n v="0"/>
    <n v="0.57465152553208576"/>
  </r>
  <r>
    <x v="0"/>
    <d v="2022-02-03T00:00:00"/>
    <d v="2022-02-23T00:00:00"/>
    <x v="10"/>
    <n v="9"/>
    <n v="3"/>
    <n v="1.0368952256941935"/>
    <n v="1.105007265554538"/>
    <n v="3.315021796663614"/>
    <n v="3.1106856770825804"/>
    <n v="0.20433611958103359"/>
    <n v="1.1158202493498564E-2"/>
    <n v="0.21549432207453215"/>
    <n v="0"/>
    <n v="0"/>
    <n v="0"/>
    <n v="0.21549432207453215"/>
  </r>
  <r>
    <x v="1"/>
    <d v="2022-03-03T00:00:00"/>
    <d v="2022-03-22T00:00:00"/>
    <x v="10"/>
    <n v="9"/>
    <n v="2"/>
    <n v="1.0368952256941935"/>
    <n v="1.105007265554538"/>
    <n v="2.210014531109076"/>
    <n v="2.0737904513883869"/>
    <n v="0.13622407972068906"/>
    <n v="7.4388016623323765E-3"/>
    <n v="0.14366288138302144"/>
    <n v="0"/>
    <n v="0"/>
    <n v="0"/>
    <n v="0.14366288138302144"/>
  </r>
  <r>
    <x v="2"/>
    <d v="2022-04-05T00:00:00"/>
    <d v="2022-04-25T00:00:00"/>
    <x v="10"/>
    <n v="9"/>
    <n v="3"/>
    <n v="1.0368952256941935"/>
    <n v="1.105007265554538"/>
    <n v="3.315021796663614"/>
    <n v="3.1106856770825804"/>
    <n v="0.20433611958103359"/>
    <n v="1.1158202493498564E-2"/>
    <n v="0.21549432207453215"/>
    <n v="0"/>
    <n v="0"/>
    <n v="0"/>
    <n v="0.21549432207453215"/>
  </r>
  <r>
    <x v="3"/>
    <d v="2022-05-04T00:00:00"/>
    <d v="2022-05-24T00:00:00"/>
    <x v="10"/>
    <n v="9"/>
    <n v="2"/>
    <n v="1.0368952256941935"/>
    <n v="1.105007265554538"/>
    <n v="2.210014531109076"/>
    <n v="2.0737904513883869"/>
    <n v="0.13622407972068906"/>
    <n v="7.4388016623323765E-3"/>
    <n v="0.14366288138302144"/>
    <n v="0"/>
    <n v="0"/>
    <n v="0"/>
    <n v="0.14366288138302144"/>
  </r>
  <r>
    <x v="4"/>
    <d v="2022-06-03T00:00:00"/>
    <d v="2022-06-23T00:00:00"/>
    <x v="10"/>
    <n v="9"/>
    <n v="3"/>
    <n v="1.0368952256941935"/>
    <n v="1.105007265554538"/>
    <n v="3.315021796663614"/>
    <n v="3.1106856770825804"/>
    <n v="0.20433611958103359"/>
    <n v="1.1158202493498564E-2"/>
    <n v="0.21549432207453215"/>
    <n v="0"/>
    <n v="0"/>
    <n v="0"/>
    <n v="0.21549432207453215"/>
  </r>
  <r>
    <x v="5"/>
    <d v="2022-07-05T00:00:00"/>
    <d v="2022-07-25T00:00:00"/>
    <x v="10"/>
    <n v="9"/>
    <n v="5"/>
    <n v="1.0368952256941935"/>
    <n v="1.105007265554538"/>
    <n v="5.5250363277726899"/>
    <n v="5.1844761284709673"/>
    <n v="0.34056019930172265"/>
    <n v="1.8597004155830939E-2"/>
    <n v="0.35915720345755359"/>
    <n v="0"/>
    <n v="0"/>
    <n v="0"/>
    <n v="0.35915720345755359"/>
  </r>
  <r>
    <x v="6"/>
    <d v="2022-08-03T00:00:00"/>
    <d v="2022-08-23T00:00:00"/>
    <x v="10"/>
    <n v="9"/>
    <n v="6"/>
    <n v="1.0368952256941935"/>
    <n v="1.105007265554538"/>
    <n v="6.6300435933272279"/>
    <n v="6.2213713541651607"/>
    <n v="0.40867223916206719"/>
    <n v="2.2316404986997128E-2"/>
    <n v="0.43098864414906429"/>
    <n v="0"/>
    <n v="0"/>
    <n v="0"/>
    <n v="0.43098864414906429"/>
  </r>
  <r>
    <x v="7"/>
    <d v="2022-09-05T00:00:00"/>
    <d v="2022-09-23T00:00:00"/>
    <x v="10"/>
    <n v="9"/>
    <n v="6"/>
    <n v="1.0368952256941935"/>
    <n v="1.105007265554538"/>
    <n v="6.6300435933272279"/>
    <n v="6.2213713541651607"/>
    <n v="0.40867223916206719"/>
    <n v="2.2316404986997128E-2"/>
    <n v="0.43098864414906429"/>
    <n v="0"/>
    <n v="0"/>
    <n v="0"/>
    <n v="0.43098864414906429"/>
  </r>
  <r>
    <x v="8"/>
    <d v="2022-10-05T00:00:00"/>
    <d v="2022-10-25T00:00:00"/>
    <x v="10"/>
    <n v="9"/>
    <n v="3"/>
    <n v="1.0368952256941935"/>
    <n v="1.105007265554538"/>
    <n v="3.315021796663614"/>
    <n v="3.1106856770825804"/>
    <n v="0.20433611958103359"/>
    <n v="1.1158202493498564E-2"/>
    <n v="0.21549432207453215"/>
    <n v="0"/>
    <n v="0"/>
    <n v="0"/>
    <n v="0.21549432207453215"/>
  </r>
  <r>
    <x v="9"/>
    <d v="2022-11-03T00:00:00"/>
    <d v="2022-11-23T00:00:00"/>
    <x v="10"/>
    <n v="9"/>
    <n v="2"/>
    <n v="1.0368952256941935"/>
    <n v="1.105007265554538"/>
    <n v="2.210014531109076"/>
    <n v="2.0737904513883869"/>
    <n v="0.13622407972068906"/>
    <n v="7.4388016623323765E-3"/>
    <n v="0.14366288138302144"/>
    <n v="0"/>
    <n v="0"/>
    <n v="0"/>
    <n v="0.14366288138302144"/>
  </r>
  <r>
    <x v="10"/>
    <d v="2022-12-05T00:00:00"/>
    <d v="2022-12-23T00:00:00"/>
    <x v="10"/>
    <n v="9"/>
    <n v="1"/>
    <n v="1.0368952256941935"/>
    <n v="1.105007265554538"/>
    <n v="1.105007265554538"/>
    <n v="1.0368952256941935"/>
    <n v="6.8112039860344531E-2"/>
    <n v="3.7194008311661883E-3"/>
    <n v="7.183144069151072E-2"/>
    <n v="0"/>
    <n v="0"/>
    <n v="0"/>
    <n v="7.183144069151072E-2"/>
  </r>
  <r>
    <x v="11"/>
    <d v="2023-01-04T00:00:00"/>
    <d v="2023-01-24T00:00:00"/>
    <x v="10"/>
    <n v="9"/>
    <n v="4"/>
    <n v="1.0368952256941935"/>
    <n v="1.105007265554538"/>
    <n v="4.4200290622181519"/>
    <n v="4.1475809027767738"/>
    <n v="0.27244815944137812"/>
    <n v="1.4877603324664753E-2"/>
    <n v="0.28732576276604288"/>
    <n v="0"/>
    <n v="0"/>
    <n v="0"/>
    <n v="0.28732576276604288"/>
  </r>
  <r>
    <x v="0"/>
    <d v="2022-02-03T00:00:00"/>
    <d v="2022-02-23T00:00:00"/>
    <x v="11"/>
    <n v="9"/>
    <n v="121"/>
    <n v="1.0368952256941935"/>
    <n v="1.105007265554538"/>
    <n v="133.70587913209908"/>
    <n v="125.46432230899741"/>
    <n v="8.2415568231016749"/>
    <n v="0.45004750057110876"/>
    <n v="8.6916043236727845"/>
    <n v="0"/>
    <n v="0"/>
    <n v="0"/>
    <n v="8.6916043236727845"/>
  </r>
  <r>
    <x v="1"/>
    <d v="2022-03-03T00:00:00"/>
    <d v="2022-03-22T00:00:00"/>
    <x v="11"/>
    <n v="9"/>
    <n v="109"/>
    <n v="1.0368952256941935"/>
    <n v="1.105007265554538"/>
    <n v="120.44579194544464"/>
    <n v="113.02157960066708"/>
    <n v="7.4242123447775583"/>
    <n v="0.40541469059711449"/>
    <n v="7.8296270353746724"/>
    <n v="0"/>
    <n v="0"/>
    <n v="0"/>
    <n v="7.8296270353746724"/>
  </r>
  <r>
    <x v="2"/>
    <d v="2022-04-05T00:00:00"/>
    <d v="2022-04-25T00:00:00"/>
    <x v="11"/>
    <n v="9"/>
    <n v="95"/>
    <n v="1.0368952256941935"/>
    <n v="1.105007265554538"/>
    <n v="104.97569022768111"/>
    <n v="98.505046440948377"/>
    <n v="6.4706437867327367"/>
    <n v="0.35334307896078787"/>
    <n v="6.8239868656935245"/>
    <n v="0"/>
    <n v="0"/>
    <n v="0"/>
    <n v="6.8239868656935245"/>
  </r>
  <r>
    <x v="3"/>
    <d v="2022-05-04T00:00:00"/>
    <d v="2022-05-24T00:00:00"/>
    <x v="11"/>
    <n v="9"/>
    <n v="93"/>
    <n v="1.0368952256941935"/>
    <n v="1.105007265554538"/>
    <n v="102.76567569657203"/>
    <n v="96.431255989559986"/>
    <n v="6.3344197070120458"/>
    <n v="0.34590427729845546"/>
    <n v="6.6803239843105011"/>
    <n v="0"/>
    <n v="0"/>
    <n v="0"/>
    <n v="6.6803239843105011"/>
  </r>
  <r>
    <x v="4"/>
    <d v="2022-06-03T00:00:00"/>
    <d v="2022-06-23T00:00:00"/>
    <x v="11"/>
    <n v="9"/>
    <n v="125"/>
    <n v="1.0368952256941935"/>
    <n v="1.105007265554538"/>
    <n v="138.12590819431725"/>
    <n v="129.61190321177418"/>
    <n v="8.5140049825430708"/>
    <n v="0.46492510389577346"/>
    <n v="8.9789300864388437"/>
    <n v="0"/>
    <n v="0"/>
    <n v="0"/>
    <n v="8.9789300864388437"/>
  </r>
  <r>
    <x v="5"/>
    <d v="2022-07-05T00:00:00"/>
    <d v="2022-07-25T00:00:00"/>
    <x v="11"/>
    <n v="9"/>
    <n v="159"/>
    <n v="1.0368952256941935"/>
    <n v="1.105007265554538"/>
    <n v="175.69615522317153"/>
    <n v="164.86634088537676"/>
    <n v="10.829814337794772"/>
    <n v="0.59138473215542398"/>
    <n v="11.421199069950196"/>
    <n v="0"/>
    <n v="0"/>
    <n v="0"/>
    <n v="11.421199069950196"/>
  </r>
  <r>
    <x v="6"/>
    <d v="2022-08-03T00:00:00"/>
    <d v="2022-08-23T00:00:00"/>
    <x v="11"/>
    <n v="9"/>
    <n v="176"/>
    <n v="1.0368952256941935"/>
    <n v="1.105007265554538"/>
    <n v="194.4812787375987"/>
    <n v="182.49355972217805"/>
    <n v="11.987719015420652"/>
    <n v="0.65461454628524907"/>
    <n v="12.6423335617059"/>
    <n v="0"/>
    <n v="0"/>
    <n v="0"/>
    <n v="12.6423335617059"/>
  </r>
  <r>
    <x v="7"/>
    <d v="2022-09-05T00:00:00"/>
    <d v="2022-09-23T00:00:00"/>
    <x v="11"/>
    <n v="9"/>
    <n v="167"/>
    <n v="1.0368952256941935"/>
    <n v="1.105007265554538"/>
    <n v="184.53621334760786"/>
    <n v="173.16150269093032"/>
    <n v="11.374710656677536"/>
    <n v="0.62113993880475338"/>
    <n v="11.995850595482288"/>
    <n v="0"/>
    <n v="0"/>
    <n v="0"/>
    <n v="11.995850595482288"/>
  </r>
  <r>
    <x v="8"/>
    <d v="2022-10-05T00:00:00"/>
    <d v="2022-10-25T00:00:00"/>
    <x v="11"/>
    <n v="9"/>
    <n v="153"/>
    <n v="1.0368952256941935"/>
    <n v="1.105007265554538"/>
    <n v="169.0661116298443"/>
    <n v="158.64496953121159"/>
    <n v="10.421142098632714"/>
    <n v="0.5690683271684267"/>
    <n v="10.990210425801141"/>
    <n v="0"/>
    <n v="0"/>
    <n v="0"/>
    <n v="10.990210425801141"/>
  </r>
  <r>
    <x v="9"/>
    <d v="2022-11-03T00:00:00"/>
    <d v="2022-11-23T00:00:00"/>
    <x v="11"/>
    <n v="9"/>
    <n v="104"/>
    <n v="1.0368952256941935"/>
    <n v="1.105007265554538"/>
    <n v="114.92075561767194"/>
    <n v="107.83710347219612"/>
    <n v="7.0836521454758241"/>
    <n v="0.3868176864412835"/>
    <n v="7.4704698319171072"/>
    <n v="0"/>
    <n v="0"/>
    <n v="0"/>
    <n v="7.4704698319171072"/>
  </r>
  <r>
    <x v="10"/>
    <d v="2022-12-05T00:00:00"/>
    <d v="2022-12-23T00:00:00"/>
    <x v="11"/>
    <n v="9"/>
    <n v="104"/>
    <n v="1.0368952256941935"/>
    <n v="1.105007265554538"/>
    <n v="114.92075561767194"/>
    <n v="107.83710347219612"/>
    <n v="7.0836521454758241"/>
    <n v="0.3868176864412835"/>
    <n v="7.4704698319171072"/>
    <n v="0"/>
    <n v="0"/>
    <n v="0"/>
    <n v="7.4704698319171072"/>
  </r>
  <r>
    <x v="11"/>
    <d v="2023-01-04T00:00:00"/>
    <d v="2023-01-24T00:00:00"/>
    <x v="11"/>
    <n v="9"/>
    <n v="139"/>
    <n v="1.0368952256941935"/>
    <n v="1.105007265554538"/>
    <n v="153.59600991208077"/>
    <n v="144.12843637149288"/>
    <n v="9.4675735405878925"/>
    <n v="0.51699671553210014"/>
    <n v="9.9845702561199925"/>
    <n v="0"/>
    <n v="0"/>
    <n v="0"/>
    <n v="9.9845702561199925"/>
  </r>
  <r>
    <x v="0"/>
    <d v="2022-02-03T00:00:00"/>
    <d v="2022-02-23T00:00:00"/>
    <x v="12"/>
    <n v="9"/>
    <n v="8"/>
    <n v="1.0368952256941935"/>
    <n v="1.105007265554538"/>
    <n v="8.8400581244363039"/>
    <n v="8.2951618055535477"/>
    <n v="0.54489631888275625"/>
    <n v="2.9755206649329506E-2"/>
    <n v="0.57465152553208576"/>
    <n v="0"/>
    <n v="0"/>
    <n v="0"/>
    <n v="0.57465152553208576"/>
  </r>
  <r>
    <x v="1"/>
    <d v="2022-03-03T00:00:00"/>
    <d v="2022-03-22T00:00:00"/>
    <x v="12"/>
    <n v="9"/>
    <n v="11"/>
    <n v="1.0368952256941935"/>
    <n v="1.105007265554538"/>
    <n v="12.155079921099919"/>
    <n v="11.405847482636128"/>
    <n v="0.74923243846379073"/>
    <n v="4.0913409142828067E-2"/>
    <n v="0.79014584760661877"/>
    <n v="0"/>
    <n v="0"/>
    <n v="0"/>
    <n v="0.79014584760661877"/>
  </r>
  <r>
    <x v="2"/>
    <d v="2022-04-05T00:00:00"/>
    <d v="2022-04-25T00:00:00"/>
    <x v="12"/>
    <n v="9"/>
    <n v="9"/>
    <n v="1.0368952256941935"/>
    <n v="1.105007265554538"/>
    <n v="9.945065389990841"/>
    <n v="9.3320570312477411"/>
    <n v="0.61300835874309989"/>
    <n v="3.3474607480495695E-2"/>
    <n v="0.64648296622359558"/>
    <n v="0"/>
    <n v="0"/>
    <n v="0"/>
    <n v="0.64648296622359558"/>
  </r>
  <r>
    <x v="3"/>
    <d v="2022-05-04T00:00:00"/>
    <d v="2022-05-24T00:00:00"/>
    <x v="12"/>
    <n v="9"/>
    <n v="11"/>
    <n v="1.0368952256941935"/>
    <n v="1.105007265554538"/>
    <n v="12.155079921099919"/>
    <n v="11.405847482636128"/>
    <n v="0.74923243846379073"/>
    <n v="4.0913409142828067E-2"/>
    <n v="0.79014584760661877"/>
    <n v="0"/>
    <n v="0"/>
    <n v="0"/>
    <n v="0.79014584760661877"/>
  </r>
  <r>
    <x v="4"/>
    <d v="2022-06-03T00:00:00"/>
    <d v="2022-06-23T00:00:00"/>
    <x v="12"/>
    <n v="9"/>
    <n v="11"/>
    <n v="1.0368952256941935"/>
    <n v="1.105007265554538"/>
    <n v="12.155079921099919"/>
    <n v="11.405847482636128"/>
    <n v="0.74923243846379073"/>
    <n v="4.0913409142828067E-2"/>
    <n v="0.79014584760661877"/>
    <n v="0"/>
    <n v="0"/>
    <n v="0"/>
    <n v="0.79014584760661877"/>
  </r>
  <r>
    <x v="5"/>
    <d v="2022-07-05T00:00:00"/>
    <d v="2022-07-25T00:00:00"/>
    <x v="12"/>
    <n v="9"/>
    <n v="14"/>
    <n v="1.0368952256941935"/>
    <n v="1.105007265554538"/>
    <n v="15.470101717763532"/>
    <n v="14.516533159718708"/>
    <n v="0.95356855804482343"/>
    <n v="5.2071611636326627E-2"/>
    <n v="1.0056401696811501"/>
    <n v="0"/>
    <n v="0"/>
    <n v="0"/>
    <n v="1.0056401696811501"/>
  </r>
  <r>
    <x v="6"/>
    <d v="2022-08-03T00:00:00"/>
    <d v="2022-08-23T00:00:00"/>
    <x v="12"/>
    <n v="9"/>
    <n v="13"/>
    <n v="1.0368952256941935"/>
    <n v="1.105007265554538"/>
    <n v="14.365094452208993"/>
    <n v="13.479637934024515"/>
    <n v="0.88545651818447801"/>
    <n v="4.8352210805160438E-2"/>
    <n v="0.9338087289896384"/>
    <n v="0"/>
    <n v="0"/>
    <n v="0"/>
    <n v="0.9338087289896384"/>
  </r>
  <r>
    <x v="7"/>
    <d v="2022-09-05T00:00:00"/>
    <d v="2022-09-23T00:00:00"/>
    <x v="12"/>
    <n v="9"/>
    <n v="13"/>
    <n v="1.0368952256941935"/>
    <n v="1.105007265554538"/>
    <n v="14.365094452208993"/>
    <n v="13.479637934024515"/>
    <n v="0.88545651818447801"/>
    <n v="4.8352210805160438E-2"/>
    <n v="0.9338087289896384"/>
    <n v="0"/>
    <n v="0"/>
    <n v="0"/>
    <n v="0.9338087289896384"/>
  </r>
  <r>
    <x v="8"/>
    <d v="2022-10-05T00:00:00"/>
    <d v="2022-10-25T00:00:00"/>
    <x v="12"/>
    <n v="9"/>
    <n v="13"/>
    <n v="1.0368952256941935"/>
    <n v="1.105007265554538"/>
    <n v="14.365094452208993"/>
    <n v="13.479637934024515"/>
    <n v="0.88545651818447801"/>
    <n v="4.8352210805160438E-2"/>
    <n v="0.9338087289896384"/>
    <n v="0"/>
    <n v="0"/>
    <n v="0"/>
    <n v="0.9338087289896384"/>
  </r>
  <r>
    <x v="9"/>
    <d v="2022-11-03T00:00:00"/>
    <d v="2022-11-23T00:00:00"/>
    <x v="12"/>
    <n v="9"/>
    <n v="10"/>
    <n v="1.0368952256941935"/>
    <n v="1.105007265554538"/>
    <n v="11.05007265554538"/>
    <n v="10.368952256941935"/>
    <n v="0.68112039860344531"/>
    <n v="3.7194008311661877E-2"/>
    <n v="0.71831440691510717"/>
    <n v="0"/>
    <n v="0"/>
    <n v="0"/>
    <n v="0.71831440691510717"/>
  </r>
  <r>
    <x v="10"/>
    <d v="2022-12-05T00:00:00"/>
    <d v="2022-12-23T00:00:00"/>
    <x v="12"/>
    <n v="9"/>
    <n v="9"/>
    <n v="1.0368952256941935"/>
    <n v="1.105007265554538"/>
    <n v="9.945065389990841"/>
    <n v="9.3320570312477411"/>
    <n v="0.61300835874309989"/>
    <n v="3.3474607480495695E-2"/>
    <n v="0.64648296622359558"/>
    <n v="0"/>
    <n v="0"/>
    <n v="0"/>
    <n v="0.64648296622359558"/>
  </r>
  <r>
    <x v="11"/>
    <d v="2023-01-04T00:00:00"/>
    <d v="2023-01-24T00:00:00"/>
    <x v="12"/>
    <n v="9"/>
    <n v="9"/>
    <n v="1.0368952256941935"/>
    <n v="1.105007265554538"/>
    <n v="9.945065389990841"/>
    <n v="9.3320570312477411"/>
    <n v="0.61300835874309989"/>
    <n v="3.3474607480495695E-2"/>
    <n v="0.64648296622359558"/>
    <n v="0"/>
    <n v="0"/>
    <n v="0"/>
    <n v="0.64648296622359558"/>
  </r>
  <r>
    <x v="0"/>
    <d v="2022-02-03T00:00:00"/>
    <d v="2022-02-23T00:00:00"/>
    <x v="13"/>
    <n v="9"/>
    <n v="22"/>
    <n v="1.0368952256941935"/>
    <n v="1.105007265554538"/>
    <n v="24.310159842199837"/>
    <n v="22.811694965272256"/>
    <n v="1.4984648769275815"/>
    <n v="8.1826818285656133E-2"/>
    <n v="1.5802916952132375"/>
    <n v="0"/>
    <n v="0"/>
    <n v="0"/>
    <n v="1.5802916952132375"/>
  </r>
  <r>
    <x v="1"/>
    <d v="2022-03-03T00:00:00"/>
    <d v="2022-03-22T00:00:00"/>
    <x v="13"/>
    <n v="9"/>
    <n v="22"/>
    <n v="1.0368952256941935"/>
    <n v="1.105007265554538"/>
    <n v="24.310159842199837"/>
    <n v="22.811694965272256"/>
    <n v="1.4984648769275815"/>
    <n v="8.1826818285656133E-2"/>
    <n v="1.5802916952132375"/>
    <n v="0"/>
    <n v="0"/>
    <n v="0"/>
    <n v="1.5802916952132375"/>
  </r>
  <r>
    <x v="2"/>
    <d v="2022-04-05T00:00:00"/>
    <d v="2022-04-25T00:00:00"/>
    <x v="13"/>
    <n v="9"/>
    <n v="18"/>
    <n v="1.0368952256941935"/>
    <n v="1.105007265554538"/>
    <n v="19.890130779981682"/>
    <n v="18.664114062495482"/>
    <n v="1.2260167174861998"/>
    <n v="6.6949214960991391E-2"/>
    <n v="1.2929659324471912"/>
    <n v="0"/>
    <n v="0"/>
    <n v="0"/>
    <n v="1.2929659324471912"/>
  </r>
  <r>
    <x v="3"/>
    <d v="2022-05-04T00:00:00"/>
    <d v="2022-05-24T00:00:00"/>
    <x v="13"/>
    <n v="9"/>
    <n v="21"/>
    <n v="1.0368952256941935"/>
    <n v="1.105007265554538"/>
    <n v="23.205152576645297"/>
    <n v="21.774799739578064"/>
    <n v="1.4303528370672325"/>
    <n v="7.8107417454489944E-2"/>
    <n v="1.5084602545217225"/>
    <n v="0"/>
    <n v="0"/>
    <n v="0"/>
    <n v="1.5084602545217225"/>
  </r>
  <r>
    <x v="4"/>
    <d v="2022-06-03T00:00:00"/>
    <d v="2022-06-23T00:00:00"/>
    <x v="13"/>
    <n v="9"/>
    <n v="31"/>
    <n v="1.0368952256941935"/>
    <n v="1.105007265554538"/>
    <n v="34.255225232190675"/>
    <n v="32.143751996519995"/>
    <n v="2.1114732356706796"/>
    <n v="0.11530142576615182"/>
    <n v="2.2267746614368313"/>
    <n v="0"/>
    <n v="0"/>
    <n v="0"/>
    <n v="2.2267746614368313"/>
  </r>
  <r>
    <x v="5"/>
    <d v="2022-07-05T00:00:00"/>
    <d v="2022-07-25T00:00:00"/>
    <x v="13"/>
    <n v="9"/>
    <n v="38"/>
    <n v="1.0368952256941935"/>
    <n v="1.105007265554538"/>
    <n v="41.990276091072445"/>
    <n v="39.402018576379348"/>
    <n v="2.5882575146930975"/>
    <n v="0.14133723158431516"/>
    <n v="2.7295947462774128"/>
    <n v="0"/>
    <n v="0"/>
    <n v="0"/>
    <n v="2.7295947462774128"/>
  </r>
  <r>
    <x v="6"/>
    <d v="2022-08-03T00:00:00"/>
    <d v="2022-08-23T00:00:00"/>
    <x v="13"/>
    <n v="9"/>
    <n v="40"/>
    <n v="1.0368952256941935"/>
    <n v="1.105007265554538"/>
    <n v="44.200290622181519"/>
    <n v="41.475809027767738"/>
    <n v="2.7244815944137812"/>
    <n v="0.14877603324664751"/>
    <n v="2.8732576276604287"/>
    <n v="0"/>
    <n v="0"/>
    <n v="0"/>
    <n v="2.8732576276604287"/>
  </r>
  <r>
    <x v="7"/>
    <d v="2022-09-05T00:00:00"/>
    <d v="2022-09-23T00:00:00"/>
    <x v="13"/>
    <n v="9"/>
    <n v="38"/>
    <n v="1.0368952256941935"/>
    <n v="1.105007265554538"/>
    <n v="41.990276091072445"/>
    <n v="39.402018576379348"/>
    <n v="2.5882575146930975"/>
    <n v="0.14133723158431516"/>
    <n v="2.7295947462774128"/>
    <n v="0"/>
    <n v="0"/>
    <n v="0"/>
    <n v="2.7295947462774128"/>
  </r>
  <r>
    <x v="8"/>
    <d v="2022-10-05T00:00:00"/>
    <d v="2022-10-25T00:00:00"/>
    <x v="13"/>
    <n v="9"/>
    <n v="35"/>
    <n v="1.0368952256941935"/>
    <n v="1.105007265554538"/>
    <n v="38.67525429440883"/>
    <n v="36.291332899296769"/>
    <n v="2.3839213951120612"/>
    <n v="0.13017902909081658"/>
    <n v="2.5141004242028777"/>
    <n v="0"/>
    <n v="0"/>
    <n v="0"/>
    <n v="2.5141004242028777"/>
  </r>
  <r>
    <x v="9"/>
    <d v="2022-11-03T00:00:00"/>
    <d v="2022-11-23T00:00:00"/>
    <x v="13"/>
    <n v="9"/>
    <n v="23"/>
    <n v="1.0368952256941935"/>
    <n v="1.105007265554538"/>
    <n v="25.415167107754375"/>
    <n v="23.848590190966448"/>
    <n v="1.5665769167879269"/>
    <n v="8.5546219116822322E-2"/>
    <n v="1.6521231359047492"/>
    <n v="0"/>
    <n v="0"/>
    <n v="0"/>
    <n v="1.6521231359047492"/>
  </r>
  <r>
    <x v="10"/>
    <d v="2022-12-05T00:00:00"/>
    <d v="2022-12-23T00:00:00"/>
    <x v="13"/>
    <n v="9"/>
    <n v="18"/>
    <n v="1.0368952256941935"/>
    <n v="1.105007265554538"/>
    <n v="19.890130779981682"/>
    <n v="18.664114062495482"/>
    <n v="1.2260167174861998"/>
    <n v="6.6949214960991391E-2"/>
    <n v="1.2929659324471912"/>
    <n v="0"/>
    <n v="0"/>
    <n v="0"/>
    <n v="1.2929659324471912"/>
  </r>
  <r>
    <x v="11"/>
    <d v="2023-01-04T00:00:00"/>
    <d v="2023-01-24T00:00:00"/>
    <x v="13"/>
    <n v="9"/>
    <n v="27"/>
    <n v="1.0368952256941935"/>
    <n v="1.105007265554538"/>
    <n v="29.835196169972527"/>
    <n v="27.996171093743222"/>
    <n v="1.839025076229305"/>
    <n v="0.10042382244148708"/>
    <n v="1.9394488986707921"/>
    <n v="0"/>
    <n v="0"/>
    <n v="0"/>
    <n v="1.9394488986707921"/>
  </r>
  <r>
    <x v="0"/>
    <d v="2022-02-03T00:00:00"/>
    <d v="2022-02-23T00:00:00"/>
    <x v="14"/>
    <n v="9"/>
    <n v="37"/>
    <n v="1.0368952256941935"/>
    <n v="1.105007265554538"/>
    <n v="40.885268825517905"/>
    <n v="38.36512335068516"/>
    <n v="2.520145474832745"/>
    <n v="0.13761783075314896"/>
    <n v="2.657763305585894"/>
    <n v="0"/>
    <n v="0"/>
    <n v="0"/>
    <n v="2.657763305585894"/>
  </r>
  <r>
    <x v="1"/>
    <d v="2022-03-03T00:00:00"/>
    <d v="2022-03-22T00:00:00"/>
    <x v="14"/>
    <n v="9"/>
    <n v="37"/>
    <n v="1.0368952256941935"/>
    <n v="1.105007265554538"/>
    <n v="40.885268825517905"/>
    <n v="38.36512335068516"/>
    <n v="2.520145474832745"/>
    <n v="0.13761783075314896"/>
    <n v="2.657763305585894"/>
    <n v="0"/>
    <n v="0"/>
    <n v="0"/>
    <n v="2.657763305585894"/>
  </r>
  <r>
    <x v="2"/>
    <d v="2022-04-05T00:00:00"/>
    <d v="2022-04-25T00:00:00"/>
    <x v="14"/>
    <n v="9"/>
    <n v="25"/>
    <n v="1.0368952256941935"/>
    <n v="1.105007265554538"/>
    <n v="27.625181638863449"/>
    <n v="25.922380642354838"/>
    <n v="1.7028009965086106"/>
    <n v="9.2985020779154701E-2"/>
    <n v="1.7957860172877653"/>
    <n v="0"/>
    <n v="0"/>
    <n v="0"/>
    <n v="1.7957860172877653"/>
  </r>
  <r>
    <x v="3"/>
    <d v="2022-05-04T00:00:00"/>
    <d v="2022-05-24T00:00:00"/>
    <x v="14"/>
    <n v="9"/>
    <n v="31"/>
    <n v="1.0368952256941935"/>
    <n v="1.105007265554538"/>
    <n v="34.255225232190675"/>
    <n v="32.143751996519995"/>
    <n v="2.1114732356706796"/>
    <n v="0.11530142576615182"/>
    <n v="2.2267746614368313"/>
    <n v="0"/>
    <n v="0"/>
    <n v="0"/>
    <n v="2.2267746614368313"/>
  </r>
  <r>
    <x v="4"/>
    <d v="2022-06-03T00:00:00"/>
    <d v="2022-06-23T00:00:00"/>
    <x v="14"/>
    <n v="9"/>
    <n v="40"/>
    <n v="1.0368952256941935"/>
    <n v="1.105007265554538"/>
    <n v="44.200290622181519"/>
    <n v="41.475809027767738"/>
    <n v="2.7244815944137812"/>
    <n v="0.14877603324664751"/>
    <n v="2.8732576276604287"/>
    <n v="0"/>
    <n v="0"/>
    <n v="0"/>
    <n v="2.8732576276604287"/>
  </r>
  <r>
    <x v="5"/>
    <d v="2022-07-05T00:00:00"/>
    <d v="2022-07-25T00:00:00"/>
    <x v="14"/>
    <n v="9"/>
    <n v="48"/>
    <n v="1.0368952256941935"/>
    <n v="1.105007265554538"/>
    <n v="53.040348746617823"/>
    <n v="49.770970833321286"/>
    <n v="3.2693779132965375"/>
    <n v="0.17853123989597702"/>
    <n v="3.4479091531925143"/>
    <n v="0"/>
    <n v="0"/>
    <n v="0"/>
    <n v="3.4479091531925143"/>
  </r>
  <r>
    <x v="6"/>
    <d v="2022-08-03T00:00:00"/>
    <d v="2022-08-23T00:00:00"/>
    <x v="14"/>
    <n v="9"/>
    <n v="52"/>
    <n v="1.0368952256941935"/>
    <n v="1.105007265554538"/>
    <n v="57.460377808835972"/>
    <n v="53.91855173609806"/>
    <n v="3.5418260727379121"/>
    <n v="0.19340884322064175"/>
    <n v="3.7352349159585536"/>
    <n v="0"/>
    <n v="0"/>
    <n v="0"/>
    <n v="3.7352349159585536"/>
  </r>
  <r>
    <x v="7"/>
    <d v="2022-09-05T00:00:00"/>
    <d v="2022-09-23T00:00:00"/>
    <x v="14"/>
    <n v="9"/>
    <n v="50"/>
    <n v="1.0368952256941935"/>
    <n v="1.105007265554538"/>
    <n v="55.250363277726898"/>
    <n v="51.844761284709676"/>
    <n v="3.4056019930172212"/>
    <n v="0.1859700415583094"/>
    <n v="3.5915720345755306"/>
    <n v="0"/>
    <n v="0"/>
    <n v="0"/>
    <n v="3.5915720345755306"/>
  </r>
  <r>
    <x v="8"/>
    <d v="2022-10-05T00:00:00"/>
    <d v="2022-10-25T00:00:00"/>
    <x v="14"/>
    <n v="9"/>
    <n v="47"/>
    <n v="1.0368952256941935"/>
    <n v="1.105007265554538"/>
    <n v="51.935341481063283"/>
    <n v="48.734075607627091"/>
    <n v="3.2012658734361921"/>
    <n v="0.17481183906481085"/>
    <n v="3.3760777125010031"/>
    <n v="0"/>
    <n v="0"/>
    <n v="0"/>
    <n v="3.3760777125010031"/>
  </r>
  <r>
    <x v="9"/>
    <d v="2022-11-03T00:00:00"/>
    <d v="2022-11-23T00:00:00"/>
    <x v="14"/>
    <n v="9"/>
    <n v="35"/>
    <n v="1.0368952256941935"/>
    <n v="1.105007265554538"/>
    <n v="38.67525429440883"/>
    <n v="36.291332899296769"/>
    <n v="2.3839213951120612"/>
    <n v="0.13017902909081658"/>
    <n v="2.5141004242028777"/>
    <n v="0"/>
    <n v="0"/>
    <n v="0"/>
    <n v="2.5141004242028777"/>
  </r>
  <r>
    <x v="10"/>
    <d v="2022-12-05T00:00:00"/>
    <d v="2022-12-23T00:00:00"/>
    <x v="14"/>
    <n v="9"/>
    <n v="34"/>
    <n v="1.0368952256941935"/>
    <n v="1.105007265554538"/>
    <n v="37.57024702885429"/>
    <n v="35.254437673602581"/>
    <n v="2.3158093552517087"/>
    <n v="0.1264596282596504"/>
    <n v="2.4422689835113589"/>
    <n v="0"/>
    <n v="0"/>
    <n v="0"/>
    <n v="2.4422689835113589"/>
  </r>
  <r>
    <x v="11"/>
    <d v="2023-01-04T00:00:00"/>
    <d v="2023-01-24T00:00:00"/>
    <x v="14"/>
    <n v="9"/>
    <n v="34"/>
    <n v="1.0368952256941935"/>
    <n v="1.105007265554538"/>
    <n v="37.57024702885429"/>
    <n v="35.254437673602581"/>
    <n v="2.3158093552517087"/>
    <n v="0.1264596282596504"/>
    <n v="2.4422689835113589"/>
    <n v="0"/>
    <n v="0"/>
    <n v="0"/>
    <n v="2.4422689835113589"/>
  </r>
  <r>
    <x v="0"/>
    <d v="2022-02-03T00:00:00"/>
    <d v="2022-02-23T00:00:00"/>
    <x v="15"/>
    <n v="9"/>
    <n v="106"/>
    <n v="1.0368952256941935"/>
    <n v="1.105007265554538"/>
    <n v="117.13077014878102"/>
    <n v="109.91089392358451"/>
    <n v="7.219876225196515"/>
    <n v="0.39425648810361591"/>
    <n v="7.6141327133001306"/>
    <n v="0"/>
    <n v="0"/>
    <n v="0"/>
    <n v="7.6141327133001306"/>
  </r>
  <r>
    <x v="1"/>
    <d v="2022-03-03T00:00:00"/>
    <d v="2022-03-22T00:00:00"/>
    <x v="15"/>
    <n v="9"/>
    <n v="101"/>
    <n v="1.0368952256941935"/>
    <n v="1.105007265554538"/>
    <n v="111.60573382100834"/>
    <n v="104.72641779511353"/>
    <n v="6.8793160258948092"/>
    <n v="0.37565948394778498"/>
    <n v="7.2549755098425939"/>
    <n v="0"/>
    <n v="0"/>
    <n v="0"/>
    <n v="7.2549755098425939"/>
  </r>
  <r>
    <x v="2"/>
    <d v="2022-04-05T00:00:00"/>
    <d v="2022-04-25T00:00:00"/>
    <x v="15"/>
    <n v="9"/>
    <n v="97"/>
    <n v="1.0368952256941935"/>
    <n v="1.105007265554538"/>
    <n v="107.18570475879018"/>
    <n v="100.57883689233677"/>
    <n v="6.6068678664534133"/>
    <n v="0.36078188062312022"/>
    <n v="6.9676497470765337"/>
    <n v="0"/>
    <n v="0"/>
    <n v="0"/>
    <n v="6.9676497470765337"/>
  </r>
  <r>
    <x v="3"/>
    <d v="2022-05-04T00:00:00"/>
    <d v="2022-05-24T00:00:00"/>
    <x v="15"/>
    <n v="9"/>
    <n v="98"/>
    <n v="1.0368952256941935"/>
    <n v="1.105007265554538"/>
    <n v="108.29071202434473"/>
    <n v="101.61573211803096"/>
    <n v="6.6749799063137658"/>
    <n v="0.36450128145428645"/>
    <n v="7.0394811877680521"/>
    <n v="0"/>
    <n v="0"/>
    <n v="0"/>
    <n v="7.0394811877680521"/>
  </r>
  <r>
    <x v="4"/>
    <d v="2022-06-03T00:00:00"/>
    <d v="2022-06-23T00:00:00"/>
    <x v="15"/>
    <n v="9"/>
    <n v="104"/>
    <n v="1.0368952256941935"/>
    <n v="1.105007265554538"/>
    <n v="114.92075561767194"/>
    <n v="107.83710347219612"/>
    <n v="7.0836521454758241"/>
    <n v="0.3868176864412835"/>
    <n v="7.4704698319171072"/>
    <n v="0"/>
    <n v="0"/>
    <n v="0"/>
    <n v="7.4704698319171072"/>
  </r>
  <r>
    <x v="5"/>
    <d v="2022-07-05T00:00:00"/>
    <d v="2022-07-25T00:00:00"/>
    <x v="15"/>
    <n v="9"/>
    <n v="115"/>
    <n v="1.0368952256941935"/>
    <n v="1.105007265554538"/>
    <n v="127.07583553877187"/>
    <n v="119.24295095483225"/>
    <n v="7.8328845839396166"/>
    <n v="0.42773109558411165"/>
    <n v="8.2606156795237276"/>
    <n v="0"/>
    <n v="0"/>
    <n v="0"/>
    <n v="8.2606156795237276"/>
  </r>
  <r>
    <x v="6"/>
    <d v="2022-08-03T00:00:00"/>
    <d v="2022-08-23T00:00:00"/>
    <x v="15"/>
    <n v="9"/>
    <n v="42"/>
    <n v="1.0368952256941935"/>
    <n v="1.105007265554538"/>
    <n v="46.410305153290594"/>
    <n v="43.549599479156129"/>
    <n v="2.860705674134465"/>
    <n v="0.15621483490897989"/>
    <n v="3.016920509043445"/>
    <n v="0"/>
    <n v="0"/>
    <n v="0"/>
    <n v="3.016920509043445"/>
  </r>
  <r>
    <x v="7"/>
    <d v="2022-09-05T00:00:00"/>
    <d v="2022-09-23T00:00:00"/>
    <x v="15"/>
    <n v="9"/>
    <n v="41"/>
    <n v="1.0368952256941935"/>
    <n v="1.105007265554538"/>
    <n v="45.30529788773606"/>
    <n v="42.512704253461933"/>
    <n v="2.7925936342741267"/>
    <n v="0.15249543407781369"/>
    <n v="2.9450890683519404"/>
    <n v="0"/>
    <n v="0"/>
    <n v="0"/>
    <n v="2.9450890683519404"/>
  </r>
  <r>
    <x v="8"/>
    <d v="2022-10-05T00:00:00"/>
    <d v="2022-10-25T00:00:00"/>
    <x v="15"/>
    <n v="9"/>
    <n v="115"/>
    <n v="1.0368952256941935"/>
    <n v="1.105007265554538"/>
    <n v="127.07583553877187"/>
    <n v="119.24295095483225"/>
    <n v="7.8328845839396166"/>
    <n v="0.42773109558411165"/>
    <n v="8.2606156795237276"/>
    <n v="0"/>
    <n v="0"/>
    <n v="0"/>
    <n v="8.2606156795237276"/>
  </r>
  <r>
    <x v="9"/>
    <d v="2022-11-03T00:00:00"/>
    <d v="2022-11-23T00:00:00"/>
    <x v="15"/>
    <n v="9"/>
    <n v="105"/>
    <n v="1.0368952256941935"/>
    <n v="1.105007265554538"/>
    <n v="116.02576288322649"/>
    <n v="108.87399869789031"/>
    <n v="7.1517641853361766"/>
    <n v="0.39053708727244979"/>
    <n v="7.5423012726086265"/>
    <n v="0"/>
    <n v="0"/>
    <n v="0"/>
    <n v="7.5423012726086265"/>
  </r>
  <r>
    <x v="10"/>
    <d v="2022-12-05T00:00:00"/>
    <d v="2022-12-23T00:00:00"/>
    <x v="15"/>
    <n v="9"/>
    <n v="104"/>
    <n v="1.0368952256941935"/>
    <n v="1.105007265554538"/>
    <n v="114.92075561767194"/>
    <n v="107.83710347219612"/>
    <n v="7.0836521454758241"/>
    <n v="0.3868176864412835"/>
    <n v="7.4704698319171072"/>
    <n v="0"/>
    <n v="0"/>
    <n v="0"/>
    <n v="7.4704698319171072"/>
  </r>
  <r>
    <x v="11"/>
    <d v="2023-01-04T00:00:00"/>
    <d v="2023-01-24T00:00:00"/>
    <x v="15"/>
    <n v="9"/>
    <n v="104"/>
    <n v="1.0368952256941935"/>
    <n v="1.105007265554538"/>
    <n v="114.92075561767194"/>
    <n v="107.83710347219612"/>
    <n v="7.0836521454758241"/>
    <n v="0.3868176864412835"/>
    <n v="7.4704698319171072"/>
    <n v="0"/>
    <n v="0"/>
    <n v="0"/>
    <n v="7.47046983191710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F27" sqref="F27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65</v>
      </c>
    </row>
    <row r="3" spans="1:2" x14ac:dyDescent="0.2">
      <c r="A3" s="2">
        <v>1</v>
      </c>
      <c r="B3" s="3" t="s">
        <v>67</v>
      </c>
    </row>
    <row r="4" spans="1:2" x14ac:dyDescent="0.2">
      <c r="A4" s="2">
        <v>2</v>
      </c>
      <c r="B4" s="3" t="s">
        <v>66</v>
      </c>
    </row>
    <row r="5" spans="1:2" x14ac:dyDescent="0.2">
      <c r="A5" s="2">
        <v>3</v>
      </c>
      <c r="B5" s="3" t="s">
        <v>68</v>
      </c>
    </row>
    <row r="6" spans="1:2" x14ac:dyDescent="0.2">
      <c r="A6" s="2">
        <v>4</v>
      </c>
      <c r="B6" s="4" t="s">
        <v>82</v>
      </c>
    </row>
    <row r="7" spans="1:2" x14ac:dyDescent="0.2">
      <c r="A7" s="2">
        <v>5</v>
      </c>
      <c r="B7" s="3" t="s">
        <v>69</v>
      </c>
    </row>
    <row r="8" spans="1:2" x14ac:dyDescent="0.2">
      <c r="A8" s="2">
        <v>6</v>
      </c>
      <c r="B8" s="3" t="s">
        <v>70</v>
      </c>
    </row>
    <row r="9" spans="1:2" x14ac:dyDescent="0.2">
      <c r="A9" s="2">
        <v>7</v>
      </c>
      <c r="B9" s="5" t="s">
        <v>71</v>
      </c>
    </row>
    <row r="10" spans="1:2" x14ac:dyDescent="0.2">
      <c r="A10" s="2">
        <v>8</v>
      </c>
      <c r="B10" s="3" t="s">
        <v>74</v>
      </c>
    </row>
    <row r="11" spans="1:2" x14ac:dyDescent="0.2">
      <c r="A11" s="2"/>
      <c r="B11" s="3" t="s">
        <v>75</v>
      </c>
    </row>
    <row r="12" spans="1:2" x14ac:dyDescent="0.2">
      <c r="A12" s="2"/>
      <c r="B12" s="5" t="s">
        <v>76</v>
      </c>
    </row>
    <row r="13" spans="1:2" x14ac:dyDescent="0.2">
      <c r="A13" s="2"/>
      <c r="B13" s="5" t="s">
        <v>77</v>
      </c>
    </row>
    <row r="14" spans="1:2" x14ac:dyDescent="0.2">
      <c r="A14" s="2">
        <v>9</v>
      </c>
      <c r="B14" s="3" t="s">
        <v>78</v>
      </c>
    </row>
    <row r="15" spans="1:2" x14ac:dyDescent="0.2">
      <c r="A15" s="2">
        <v>10</v>
      </c>
      <c r="B15" s="3" t="s">
        <v>80</v>
      </c>
    </row>
    <row r="16" spans="1:2" x14ac:dyDescent="0.2">
      <c r="A16" s="2">
        <v>11</v>
      </c>
      <c r="B16" s="3" t="s">
        <v>81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zoomScale="85" zoomScaleNormal="85" zoomScaleSheetLayoutView="100" workbookViewId="0">
      <selection activeCell="F27" sqref="F27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49" t="str">
        <f>+Transactions!B1</f>
        <v>AEPTCo Formula Rate -- FERC Docket ER18-194</v>
      </c>
      <c r="D1" s="249"/>
      <c r="E1" s="249"/>
      <c r="F1" s="249"/>
      <c r="G1" s="249"/>
      <c r="H1" s="249"/>
      <c r="I1" s="249"/>
      <c r="L1" s="6">
        <v>2023</v>
      </c>
    </row>
    <row r="2" spans="2:19" x14ac:dyDescent="0.2">
      <c r="C2" s="249" t="s">
        <v>36</v>
      </c>
      <c r="D2" s="249"/>
      <c r="E2" s="249"/>
      <c r="F2" s="249"/>
      <c r="G2" s="249"/>
      <c r="H2" s="249"/>
      <c r="I2" s="249"/>
    </row>
    <row r="3" spans="2:19" x14ac:dyDescent="0.2">
      <c r="C3" s="249" t="str">
        <f>"for period 01/01/"&amp;F8&amp;" - 12/31/"&amp;F8</f>
        <v>for period 01/01/2022 - 12/31/2022</v>
      </c>
      <c r="D3" s="249"/>
      <c r="E3" s="249"/>
      <c r="F3" s="249"/>
      <c r="G3" s="249"/>
      <c r="H3" s="249"/>
      <c r="I3" s="249"/>
    </row>
    <row r="4" spans="2:19" x14ac:dyDescent="0.2">
      <c r="C4" s="249" t="s">
        <v>96</v>
      </c>
      <c r="D4" s="249"/>
      <c r="E4" s="249"/>
      <c r="F4" s="249"/>
      <c r="G4" s="249"/>
      <c r="H4" s="249"/>
      <c r="I4" s="249"/>
    </row>
    <row r="5" spans="2:19" x14ac:dyDescent="0.2">
      <c r="C5" s="7" t="str">
        <f>"Prepared:  May 24_, "&amp;L1&amp;""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95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"&amp;F8+1&amp;" Update of May "&amp;F8+1&amp;")"</f>
        <v>(per 2023 Update of May 2023)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101449.20513025638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43</v>
      </c>
      <c r="E12" s="30"/>
      <c r="F12" s="31">
        <f>+Transactions!J2</f>
        <v>115665.53051465572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1.0368952256941935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42</v>
      </c>
      <c r="E14" s="44"/>
      <c r="F14" s="45">
        <f>+Transactions!J3</f>
        <v>1.105007265554538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94</v>
      </c>
      <c r="I19" s="56" t="s">
        <v>93</v>
      </c>
      <c r="J19" s="227" t="s">
        <v>99</v>
      </c>
      <c r="K19" s="228" t="s">
        <v>100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7" t="s">
        <v>52</v>
      </c>
      <c r="D20" s="58" t="str">
        <f>"Actual Charge
("&amp;F8&amp;" True-Up)"</f>
        <v>Actual Charge
(2022 True-Up)</v>
      </c>
      <c r="E20" s="59" t="str">
        <f>"Invoiced for
CY"&amp;F8&amp;" Transmission Service"</f>
        <v>Invoiced for
CY2022 Transmission Service</v>
      </c>
      <c r="F20" s="58" t="s">
        <v>41</v>
      </c>
      <c r="G20" s="60" t="s">
        <v>7</v>
      </c>
      <c r="H20" s="60" t="s">
        <v>88</v>
      </c>
      <c r="I20" s="61" t="s">
        <v>46</v>
      </c>
      <c r="J20" s="229" t="s">
        <v>101</v>
      </c>
      <c r="K20" s="230" t="s">
        <v>102</v>
      </c>
      <c r="N20" s="52"/>
      <c r="O20" s="53"/>
      <c r="P20" s="53"/>
      <c r="Q20" s="53"/>
      <c r="R20" s="53"/>
      <c r="S20" s="53"/>
    </row>
    <row r="21" spans="2:19" x14ac:dyDescent="0.2">
      <c r="B21" s="62"/>
      <c r="C21" s="63" t="s">
        <v>14</v>
      </c>
      <c r="D21" s="64">
        <f>GETPIVOTDATA("Sum of "&amp;T(Transactions!$J$19),Pivot!$A$3,"Customer",C21)</f>
        <v>10967.197110628789</v>
      </c>
      <c r="E21" s="64">
        <f>GETPIVOTDATA("Sum of "&amp;T(Transactions!$K$19),Pivot!$A$3,"Customer",C21)</f>
        <v>10291.18511501487</v>
      </c>
      <c r="F21" s="64">
        <f>D21-E21</f>
        <v>676.01199561391877</v>
      </c>
      <c r="G21" s="53">
        <f>+GETPIVOTDATA("Sum of "&amp;T(Transactions!$M$19),Pivot!$A$3,"Customer","AECC")</f>
        <v>36.915053249324423</v>
      </c>
      <c r="H21" s="53">
        <f>GETPIVOTDATA("Sum of "&amp;T(Transactions!$Q$19),Pivot!$A$3,"Customer","AECC")</f>
        <v>0</v>
      </c>
      <c r="I21" s="65">
        <f>F21+G21-H21</f>
        <v>712.92704886324316</v>
      </c>
      <c r="J21" s="231"/>
      <c r="K21" s="232">
        <f>I21+J21</f>
        <v>712.92704886324316</v>
      </c>
      <c r="L21" s="62"/>
      <c r="N21" s="52"/>
      <c r="O21" s="53"/>
      <c r="P21" s="53"/>
      <c r="Q21" s="53"/>
      <c r="R21" s="53"/>
      <c r="S21" s="53"/>
    </row>
    <row r="22" spans="2:19" x14ac:dyDescent="0.2">
      <c r="B22" s="62"/>
      <c r="C22" s="66" t="s">
        <v>85</v>
      </c>
      <c r="D22" s="64">
        <f>GETPIVOTDATA("Sum of "&amp;T(Transactions!$J$19),Pivot!$A$3,"Customer",C22)</f>
        <v>602.22895972722324</v>
      </c>
      <c r="E22" s="64">
        <f>GETPIVOTDATA("Sum of "&amp;T(Transactions!$K$19),Pivot!$A$3,"Customer",C22)</f>
        <v>565.10789800333544</v>
      </c>
      <c r="F22" s="64">
        <f>D22-E22</f>
        <v>37.121061723887806</v>
      </c>
      <c r="G22" s="53">
        <f>+GETPIVOTDATA("Sum of "&amp;T(Transactions!$M$19),Pivot!$A$3,"Customer","AECI")</f>
        <v>2.0270734529855723</v>
      </c>
      <c r="H22" s="53">
        <f>GETPIVOTDATA("Sum of "&amp;T(Transactions!$Q$19),Pivot!$A$3,"Customer",C22)</f>
        <v>0</v>
      </c>
      <c r="I22" s="65">
        <f t="shared" ref="I22:I33" si="0">F22+G22-H22</f>
        <v>39.148135176873382</v>
      </c>
      <c r="J22" s="231"/>
      <c r="K22" s="232">
        <f t="shared" ref="K22:K39" si="1">I22+J22</f>
        <v>39.148135176873382</v>
      </c>
      <c r="L22" s="62"/>
      <c r="N22" s="52"/>
      <c r="O22" s="53"/>
      <c r="P22" s="53"/>
      <c r="Q22" s="53"/>
      <c r="R22" s="53"/>
      <c r="S22" s="53"/>
    </row>
    <row r="23" spans="2:19" x14ac:dyDescent="0.2">
      <c r="B23" s="62"/>
      <c r="C23" s="66" t="s">
        <v>56</v>
      </c>
      <c r="D23" s="64">
        <f>GETPIVOTDATA("Sum of "&amp;T(Transactions!$J$19),Pivot!$A$3,"Customer",C23)</f>
        <v>1707.2362252817611</v>
      </c>
      <c r="E23" s="64">
        <f>GETPIVOTDATA("Sum of "&amp;T(Transactions!$K$19),Pivot!$A$3,"Customer",C23)</f>
        <v>1602.003123697529</v>
      </c>
      <c r="F23" s="64">
        <f t="shared" ref="F23:F35" si="2">D23-E23</f>
        <v>105.23310158423214</v>
      </c>
      <c r="G23" s="53">
        <f>+GETPIVOTDATA("Sum of "&amp;T(Transactions!$M$19),Pivot!$A$3,"Customer","Bentonville, AR")</f>
        <v>5.7464742841517591</v>
      </c>
      <c r="H23" s="53">
        <f>GETPIVOTDATA("Sum of "&amp;T(Transactions!$Q$19),Pivot!$A$3,"Customer",C23)</f>
        <v>0</v>
      </c>
      <c r="I23" s="65">
        <f t="shared" si="0"/>
        <v>110.9795758683839</v>
      </c>
      <c r="J23" s="231"/>
      <c r="K23" s="232">
        <f t="shared" si="1"/>
        <v>110.9795758683839</v>
      </c>
      <c r="L23" s="62"/>
      <c r="N23" s="52"/>
      <c r="O23" s="53"/>
      <c r="P23" s="53"/>
      <c r="Q23" s="53"/>
      <c r="R23" s="53"/>
      <c r="S23" s="53"/>
    </row>
    <row r="24" spans="2:19" x14ac:dyDescent="0.2">
      <c r="B24" s="62"/>
      <c r="C24" s="63" t="s">
        <v>17</v>
      </c>
      <c r="D24" s="64">
        <f>GETPIVOTDATA("Sum of "&amp;T(Transactions!$J$19),Pivot!$A$3,"Customer",C24)</f>
        <v>1250.8682246077374</v>
      </c>
      <c r="E24" s="64">
        <f>GETPIVOTDATA("Sum of "&amp;T(Transactions!$K$19),Pivot!$A$3,"Customer",C24)</f>
        <v>1173.765395485827</v>
      </c>
      <c r="F24" s="64">
        <f t="shared" si="2"/>
        <v>77.102829121910418</v>
      </c>
      <c r="G24" s="53">
        <f>+GETPIVOTDATA("Sum of "&amp;T(Transactions!$M$19),Pivot!$A$3,"Customer","Coffeyville, KS")</f>
        <v>4.210361740880125</v>
      </c>
      <c r="H24" s="53">
        <f>GETPIVOTDATA("Sum of "&amp;T(Transactions!$Q$19),Pivot!$A$3,"Customer",C24)</f>
        <v>0</v>
      </c>
      <c r="I24" s="65">
        <f t="shared" si="0"/>
        <v>81.313190862790549</v>
      </c>
      <c r="J24" s="231"/>
      <c r="K24" s="232">
        <f t="shared" si="1"/>
        <v>81.313190862790549</v>
      </c>
      <c r="L24" s="62"/>
      <c r="N24" s="52"/>
      <c r="O24" s="53"/>
      <c r="P24" s="53"/>
      <c r="Q24" s="53"/>
      <c r="R24" s="53"/>
      <c r="S24" s="53"/>
    </row>
    <row r="25" spans="2:19" x14ac:dyDescent="0.2">
      <c r="B25" s="62"/>
      <c r="C25" s="66" t="s">
        <v>13</v>
      </c>
      <c r="D25" s="64">
        <f>GETPIVOTDATA("Sum of "&amp;T(Transactions!$J$19),Pivot!$A$3,"Customer",C25)</f>
        <v>12181.600095473226</v>
      </c>
      <c r="E25" s="64">
        <f>GETPIVOTDATA("Sum of "&amp;T(Transactions!$K$19),Pivot!$A$3,"Customer",C25)</f>
        <v>11430.732968052791</v>
      </c>
      <c r="F25" s="64">
        <f t="shared" si="2"/>
        <v>750.86712742043528</v>
      </c>
      <c r="G25" s="53">
        <f>+GETPIVOTDATA("Sum of "&amp;T(Transactions!$M$19),Pivot!$A$3,"Customer","ETEC")</f>
        <v>41.00267476277606</v>
      </c>
      <c r="H25" s="53">
        <f>GETPIVOTDATA("Sum of "&amp;T(Transactions!$Q$19),Pivot!$A$3,"Customer",C25)</f>
        <v>0</v>
      </c>
      <c r="I25" s="65">
        <f t="shared" si="0"/>
        <v>791.86980218321139</v>
      </c>
      <c r="J25" s="231"/>
      <c r="K25" s="232">
        <f t="shared" si="1"/>
        <v>791.86980218321139</v>
      </c>
      <c r="L25" s="62"/>
      <c r="N25" s="54"/>
      <c r="O25" s="53"/>
      <c r="P25" s="53"/>
      <c r="Q25" s="53"/>
      <c r="R25" s="53"/>
      <c r="S25" s="53"/>
    </row>
    <row r="26" spans="2:19" x14ac:dyDescent="0.2">
      <c r="B26" s="62"/>
      <c r="C26" s="63" t="s">
        <v>15</v>
      </c>
      <c r="D26" s="64">
        <f>GETPIVOTDATA("Sum of "&amp;T(Transactions!$J$19),Pivot!$A$3,"Customer",C26)</f>
        <v>125.97082827321734</v>
      </c>
      <c r="E26" s="64">
        <f>GETPIVOTDATA("Sum of "&amp;T(Transactions!$K$19),Pivot!$A$3,"Customer",C26)</f>
        <v>118.20605572913804</v>
      </c>
      <c r="F26" s="64">
        <f t="shared" si="2"/>
        <v>7.7647725440792925</v>
      </c>
      <c r="G26" s="53">
        <f>+GETPIVOTDATA("Sum of "&amp;T(Transactions!$M$19),Pivot!$A$3,"Customer","Greenbelt")</f>
        <v>0.42401169475294537</v>
      </c>
      <c r="H26" s="53">
        <f>GETPIVOTDATA("Sum of "&amp;T(Transactions!$Q$19),Pivot!$A$3,"Customer",C26)</f>
        <v>0</v>
      </c>
      <c r="I26" s="65">
        <f t="shared" si="0"/>
        <v>8.1887842388322376</v>
      </c>
      <c r="J26" s="231"/>
      <c r="K26" s="232">
        <f t="shared" si="1"/>
        <v>8.1887842388322376</v>
      </c>
      <c r="L26" s="62"/>
      <c r="M26" s="67"/>
      <c r="N26" s="67"/>
      <c r="O26" s="67"/>
      <c r="P26" s="67"/>
      <c r="Q26" s="53"/>
      <c r="R26" s="53"/>
      <c r="S26" s="53"/>
    </row>
    <row r="27" spans="2:19" x14ac:dyDescent="0.2">
      <c r="B27" s="62"/>
      <c r="C27" s="63" t="s">
        <v>59</v>
      </c>
      <c r="D27" s="64">
        <f>GETPIVOTDATA("Sum of "&amp;T(Transactions!$J$19),Pivot!$A$3,"Customer",C27)</f>
        <v>519.35341481063278</v>
      </c>
      <c r="E27" s="64">
        <f>GETPIVOTDATA("Sum of "&amp;T(Transactions!$K$19),Pivot!$A$3,"Customer",C27)</f>
        <v>487.34075607627096</v>
      </c>
      <c r="F27" s="64">
        <f t="shared" si="2"/>
        <v>32.012658734361821</v>
      </c>
      <c r="G27" s="53">
        <f>+GETPIVOTDATA("Sum of "&amp;T(Transactions!$M$19),Pivot!$A$3,"Customer","Hope, AR")</f>
        <v>1.7481183906481084</v>
      </c>
      <c r="H27" s="53">
        <f>GETPIVOTDATA("Sum of "&amp;T(Transactions!$Q$19),Pivot!$A$3,"Customer",C27)</f>
        <v>0</v>
      </c>
      <c r="I27" s="65">
        <f t="shared" si="0"/>
        <v>33.76077712500993</v>
      </c>
      <c r="J27" s="231"/>
      <c r="K27" s="232">
        <f t="shared" si="1"/>
        <v>33.76077712500993</v>
      </c>
      <c r="L27" s="62"/>
      <c r="M27" s="67"/>
      <c r="N27" s="67"/>
      <c r="O27" s="67"/>
      <c r="P27" s="67"/>
      <c r="Q27" s="53"/>
      <c r="R27" s="53"/>
      <c r="S27" s="53"/>
    </row>
    <row r="28" spans="2:19" x14ac:dyDescent="0.2">
      <c r="B28" s="62"/>
      <c r="C28" s="63" t="s">
        <v>16</v>
      </c>
      <c r="D28" s="64">
        <f>GETPIVOTDATA("Sum of "&amp;T(Transactions!$J$19),Pivot!$A$3,"Customer",C28)</f>
        <v>44.200290622181527</v>
      </c>
      <c r="E28" s="64">
        <f>GETPIVOTDATA("Sum of "&amp;T(Transactions!$K$19),Pivot!$A$3,"Customer",C28)</f>
        <v>41.475809027767745</v>
      </c>
      <c r="F28" s="64">
        <f t="shared" si="2"/>
        <v>2.7244815944137812</v>
      </c>
      <c r="G28" s="53">
        <f>+GETPIVOTDATA("Sum of "&amp;T(Transactions!$M$19),Pivot!$A$3,"Customer","Lighthouse")</f>
        <v>0.14877603324664751</v>
      </c>
      <c r="H28" s="53">
        <f>GETPIVOTDATA("Sum of "&amp;T(Transactions!$Q$19),Pivot!$A$3,"Customer",C28)</f>
        <v>0</v>
      </c>
      <c r="I28" s="65">
        <f t="shared" si="0"/>
        <v>2.8732576276604287</v>
      </c>
      <c r="J28" s="231"/>
      <c r="K28" s="232">
        <f t="shared" si="1"/>
        <v>2.8732576276604287</v>
      </c>
      <c r="L28" s="62"/>
      <c r="N28" s="52"/>
      <c r="O28" s="53"/>
      <c r="P28" s="53"/>
      <c r="Q28" s="53"/>
      <c r="R28" s="53"/>
      <c r="S28" s="53"/>
    </row>
    <row r="29" spans="2:19" x14ac:dyDescent="0.2">
      <c r="B29" s="62"/>
      <c r="C29" s="66" t="s">
        <v>58</v>
      </c>
      <c r="D29" s="64">
        <f>GETPIVOTDATA("Sum of "&amp;T(Transactions!$J$19),Pivot!$A$3,"Customer",C29)</f>
        <v>367.96741942966116</v>
      </c>
      <c r="E29" s="64">
        <f>GETPIVOTDATA("Sum of "&amp;T(Transactions!$K$19),Pivot!$A$3,"Customer",C29)</f>
        <v>345.28611015616639</v>
      </c>
      <c r="F29" s="64">
        <f t="shared" si="2"/>
        <v>22.681309273494776</v>
      </c>
      <c r="G29" s="53">
        <f>+GETPIVOTDATA("Sum of "&amp;T(Transactions!$M$19),Pivot!$A$3,"Customer","Minden, LA")</f>
        <v>1.2385604767783405</v>
      </c>
      <c r="H29" s="53">
        <f>GETPIVOTDATA("Sum of "&amp;T(Transactions!$Q$19),Pivot!$A$3,"Customer",C29)</f>
        <v>0</v>
      </c>
      <c r="I29" s="65">
        <f t="shared" si="0"/>
        <v>23.919869750273115</v>
      </c>
      <c r="J29" s="231"/>
      <c r="K29" s="232">
        <f t="shared" si="1"/>
        <v>23.919869750273115</v>
      </c>
      <c r="L29" s="62"/>
      <c r="N29" s="52"/>
      <c r="O29" s="53"/>
      <c r="P29" s="53"/>
      <c r="Q29" s="53"/>
      <c r="R29" s="53"/>
      <c r="S29" s="53"/>
    </row>
    <row r="30" spans="2:19" x14ac:dyDescent="0.2">
      <c r="B30" s="62"/>
      <c r="C30" s="66" t="s">
        <v>19</v>
      </c>
      <c r="D30" s="64">
        <f>GETPIVOTDATA("Sum of "&amp;T(Transactions!$J$19),Pivot!$A$3,"Customer",C30)</f>
        <v>702.78462089268612</v>
      </c>
      <c r="E30" s="64">
        <f>GETPIVOTDATA("Sum of "&amp;T(Transactions!$K$19),Pivot!$A$3,"Customer",C30)</f>
        <v>659.46536354150703</v>
      </c>
      <c r="F30" s="64">
        <f t="shared" si="2"/>
        <v>43.31925735117909</v>
      </c>
      <c r="G30" s="53">
        <f>+GETPIVOTDATA("Sum of "&amp;T(Transactions!$M$19),Pivot!$A$3,"Customer","OG&amp;E")</f>
        <v>2.3655389286216955</v>
      </c>
      <c r="H30" s="53">
        <f>GETPIVOTDATA("Sum of "&amp;T(Transactions!$Q$19),Pivot!$A$3,"Customer",C30)</f>
        <v>0</v>
      </c>
      <c r="I30" s="65">
        <f t="shared" si="0"/>
        <v>45.684796279800786</v>
      </c>
      <c r="J30" s="231"/>
      <c r="K30" s="232">
        <f t="shared" si="1"/>
        <v>45.684796279800786</v>
      </c>
      <c r="L30" s="62"/>
    </row>
    <row r="31" spans="2:19" x14ac:dyDescent="0.2">
      <c r="B31" s="62"/>
      <c r="C31" s="63" t="s">
        <v>8</v>
      </c>
      <c r="D31" s="64">
        <f>GETPIVOTDATA("Sum of "&amp;T(Transactions!$J$19),Pivot!$A$3,"Customer",C31)</f>
        <v>1444.2444960797811</v>
      </c>
      <c r="E31" s="64">
        <f>GETPIVOTDATA("Sum of "&amp;T(Transactions!$K$19),Pivot!$A$3,"Customer",C31)</f>
        <v>1355.2220599823108</v>
      </c>
      <c r="F31" s="64">
        <f t="shared" si="2"/>
        <v>89.02243609747029</v>
      </c>
      <c r="G31" s="53">
        <f>+GETPIVOTDATA("Sum of "&amp;T(Transactions!$M$19),Pivot!$A$3,"Customer","OMPA")</f>
        <v>4.8612568863342069</v>
      </c>
      <c r="H31" s="53">
        <f>GETPIVOTDATA("Sum of "&amp;T(Transactions!$Q$19),Pivot!$A$3,"Customer",C31)</f>
        <v>0</v>
      </c>
      <c r="I31" s="65">
        <f t="shared" si="0"/>
        <v>93.883692983804494</v>
      </c>
      <c r="J31" s="231"/>
      <c r="K31" s="232">
        <f t="shared" si="1"/>
        <v>93.883692983804494</v>
      </c>
      <c r="L31" s="62"/>
    </row>
    <row r="32" spans="2:19" x14ac:dyDescent="0.2">
      <c r="B32" s="62"/>
      <c r="C32" s="63" t="s">
        <v>57</v>
      </c>
      <c r="D32" s="64">
        <f>GETPIVOTDATA("Sum of "&amp;T(Transactions!$J$19),Pivot!$A$3,"Customer",C32)</f>
        <v>144.75595178764448</v>
      </c>
      <c r="E32" s="64">
        <f>GETPIVOTDATA("Sum of "&amp;T(Transactions!$K$19),Pivot!$A$3,"Customer",C32)</f>
        <v>135.83327456593932</v>
      </c>
      <c r="F32" s="64">
        <f t="shared" si="2"/>
        <v>8.9226772217051575</v>
      </c>
      <c r="G32" s="53">
        <f>+GETPIVOTDATA("Sum of "&amp;T(Transactions!$M$19),Pivot!$A$3,"Customer","Prescott, AR")</f>
        <v>0.48724150888277057</v>
      </c>
      <c r="H32" s="53">
        <f>GETPIVOTDATA("Sum of "&amp;T(Transactions!$Q$19),Pivot!$A$3,"Customer",C32)</f>
        <v>0</v>
      </c>
      <c r="I32" s="65">
        <f t="shared" si="0"/>
        <v>9.4099187305879273</v>
      </c>
      <c r="J32" s="231"/>
      <c r="K32" s="232">
        <f t="shared" si="1"/>
        <v>9.4099187305879273</v>
      </c>
      <c r="L32" s="62"/>
    </row>
    <row r="33" spans="2:12" x14ac:dyDescent="0.2">
      <c r="B33" s="62"/>
      <c r="C33" s="68" t="s">
        <v>9</v>
      </c>
      <c r="D33" s="64">
        <f>GETPIVOTDATA("Sum of "&amp;T(Transactions!$J$19),Pivot!$A$3,"Customer",C33)</f>
        <v>621.01408324165038</v>
      </c>
      <c r="E33" s="64">
        <f>GETPIVOTDATA("Sum of "&amp;T(Transactions!$K$19),Pivot!$A$3,"Customer",C33)</f>
        <v>582.73511684013681</v>
      </c>
      <c r="F33" s="64">
        <f t="shared" si="2"/>
        <v>38.278966401513571</v>
      </c>
      <c r="G33" s="53">
        <f>+GETPIVOTDATA("Sum of "&amp;T(Transactions!$M$19),Pivot!$A$3,"Customer","WFEC")</f>
        <v>2.0903032671153978</v>
      </c>
      <c r="H33" s="53">
        <f>GETPIVOTDATA("Sum of "&amp;T(Transactions!$Q$19),Pivot!$A$3,"Customer",C33)</f>
        <v>0</v>
      </c>
      <c r="I33" s="65">
        <f t="shared" si="0"/>
        <v>40.369269668628966</v>
      </c>
      <c r="J33" s="231"/>
      <c r="K33" s="232">
        <f t="shared" si="1"/>
        <v>40.369269668628966</v>
      </c>
      <c r="L33" s="62"/>
    </row>
    <row r="34" spans="2:12" ht="24" x14ac:dyDescent="0.2">
      <c r="C34" s="69" t="s">
        <v>44</v>
      </c>
      <c r="D34" s="70">
        <f t="shared" ref="D34:J34" si="3">SUM(D21:D33)</f>
        <v>30679.421720856189</v>
      </c>
      <c r="E34" s="70">
        <f t="shared" si="3"/>
        <v>28788.359046173591</v>
      </c>
      <c r="F34" s="70">
        <f t="shared" si="3"/>
        <v>1891.0626746826024</v>
      </c>
      <c r="G34" s="71">
        <f t="shared" si="3"/>
        <v>103.26544467649805</v>
      </c>
      <c r="H34" s="71">
        <f t="shared" si="3"/>
        <v>0</v>
      </c>
      <c r="I34" s="72">
        <f t="shared" si="3"/>
        <v>1994.3281193591004</v>
      </c>
      <c r="J34" s="233">
        <f t="shared" si="3"/>
        <v>0</v>
      </c>
      <c r="K34" s="234">
        <f t="shared" si="1"/>
        <v>1994.3281193591004</v>
      </c>
    </row>
    <row r="35" spans="2:12" x14ac:dyDescent="0.2">
      <c r="C35" s="73" t="s">
        <v>21</v>
      </c>
      <c r="D35" s="64">
        <f>GETPIVOTDATA("Sum of "&amp;T(Transactions!$J$19),Pivot!$A$3,"Customer",C35)</f>
        <v>42809.086474848358</v>
      </c>
      <c r="E35" s="64">
        <f>GETPIVOTDATA("Sum of "&amp;T(Transactions!$K$19),Pivot!$A$3,"Customer",C35)</f>
        <v>40170.357938618741</v>
      </c>
      <c r="F35" s="64">
        <f t="shared" si="2"/>
        <v>2638.728536229617</v>
      </c>
      <c r="G35" s="53">
        <f>+GETPIVOTDATA("Sum of "&amp;T(Transactions!$M$19),Pivot!$A$3,"Customer","PSO")</f>
        <v>144.0933076002093</v>
      </c>
      <c r="H35" s="53">
        <f>GETPIVOTDATA("Sum of "&amp;T(Transactions!$Q$19),Pivot!$A$3,"Customer",C35)</f>
        <v>0</v>
      </c>
      <c r="I35" s="65">
        <f>F35+G35-H35</f>
        <v>2782.8218438298263</v>
      </c>
      <c r="J35" s="231"/>
      <c r="K35" s="232">
        <f t="shared" si="1"/>
        <v>2782.8218438298263</v>
      </c>
    </row>
    <row r="36" spans="2:12" x14ac:dyDescent="0.2">
      <c r="C36" s="74" t="s">
        <v>22</v>
      </c>
      <c r="D36" s="64">
        <f>GETPIVOTDATA("Sum of "&amp;T(Transactions!$J$19),Pivot!$A$3,"Customer",C36)</f>
        <v>40331.660185475077</v>
      </c>
      <c r="E36" s="64">
        <f>GETPIVOTDATA("Sum of "&amp;T(Transactions!$K$19),Pivot!$A$3,"Customer",C36)</f>
        <v>37845.638842612367</v>
      </c>
      <c r="F36" s="64">
        <f>D36-E36</f>
        <v>2486.0213428627103</v>
      </c>
      <c r="G36" s="53">
        <f>+GETPIVOTDATA("Sum of "&amp;T(Transactions!$M$19),Pivot!$A$3,"Customer","SWEPCO")</f>
        <v>135.7544109367347</v>
      </c>
      <c r="H36" s="53">
        <f>GETPIVOTDATA("Sum of "&amp;T(Transactions!$Q$19),Pivot!$A$3,"Customer",C36)</f>
        <v>0</v>
      </c>
      <c r="I36" s="65">
        <f>F36+G36-H36</f>
        <v>2621.7757537994448</v>
      </c>
      <c r="J36" s="231"/>
      <c r="K36" s="232">
        <f t="shared" si="1"/>
        <v>2621.7757537994448</v>
      </c>
    </row>
    <row r="37" spans="2:12" x14ac:dyDescent="0.2">
      <c r="C37" s="75" t="s">
        <v>83</v>
      </c>
      <c r="D37" s="64">
        <f>GETPIVOTDATA("Sum of "&amp;T(Transactions!$J$19),Pivot!$A$3,"Customer",C37)</f>
        <v>1845.3621334760783</v>
      </c>
      <c r="E37" s="64">
        <f>GETPIVOTDATA("Sum of "&amp;T(Transactions!$K$19),Pivot!$A$3,"Customer",C37)</f>
        <v>1731.6150269093032</v>
      </c>
      <c r="F37" s="64">
        <f>D37-E37</f>
        <v>113.74710656677507</v>
      </c>
      <c r="G37" s="53">
        <f>+GETPIVOTDATA("Sum of "&amp;T(Transactions!$M$19),Pivot!$A$3,"Customer","SWEPCO-Valley")</f>
        <v>6.2113993880475338</v>
      </c>
      <c r="H37" s="53">
        <f>GETPIVOTDATA("Sum of "&amp;T(Transactions!$Q$19),Pivot!$A$3,"Customer",C37)</f>
        <v>0</v>
      </c>
      <c r="I37" s="65">
        <f>F37+G37-H37</f>
        <v>119.95850595482261</v>
      </c>
      <c r="J37" s="231"/>
      <c r="K37" s="232">
        <f t="shared" si="1"/>
        <v>119.95850595482261</v>
      </c>
    </row>
    <row r="38" spans="2:12" ht="24" x14ac:dyDescent="0.2">
      <c r="C38" s="76" t="s">
        <v>53</v>
      </c>
      <c r="D38" s="77">
        <f t="shared" ref="D38:I38" si="4">SUM(D35:D37)</f>
        <v>84986.108793799518</v>
      </c>
      <c r="E38" s="77">
        <f t="shared" si="4"/>
        <v>79747.611808140413</v>
      </c>
      <c r="F38" s="77">
        <f t="shared" si="4"/>
        <v>5238.4969856591024</v>
      </c>
      <c r="G38" s="78">
        <f t="shared" si="4"/>
        <v>286.05911792499154</v>
      </c>
      <c r="H38" s="78">
        <f t="shared" si="4"/>
        <v>0</v>
      </c>
      <c r="I38" s="79">
        <f t="shared" si="4"/>
        <v>5524.5561035840938</v>
      </c>
      <c r="J38" s="235">
        <f>SUM(J35:J37)</f>
        <v>0</v>
      </c>
      <c r="K38" s="236">
        <f t="shared" si="1"/>
        <v>5524.5561035840938</v>
      </c>
    </row>
    <row r="39" spans="2:12" ht="23.25" customHeight="1" thickBot="1" x14ac:dyDescent="0.25">
      <c r="C39" s="80" t="s">
        <v>45</v>
      </c>
      <c r="D39" s="81">
        <f t="shared" ref="D39:I39" si="5">SUM(D34,D38)</f>
        <v>115665.53051465571</v>
      </c>
      <c r="E39" s="82">
        <f t="shared" si="5"/>
        <v>108535.970854314</v>
      </c>
      <c r="F39" s="81">
        <f t="shared" si="5"/>
        <v>7129.5596603417052</v>
      </c>
      <c r="G39" s="82">
        <f t="shared" si="5"/>
        <v>389.32456260148956</v>
      </c>
      <c r="H39" s="82">
        <f t="shared" si="5"/>
        <v>0</v>
      </c>
      <c r="I39" s="83">
        <f t="shared" si="5"/>
        <v>7518.8842229431939</v>
      </c>
      <c r="J39" s="237">
        <f>SUM(J34,J38)</f>
        <v>0</v>
      </c>
      <c r="K39" s="238">
        <f t="shared" si="1"/>
        <v>7518.8842229431939</v>
      </c>
    </row>
    <row r="40" spans="2:12" x14ac:dyDescent="0.2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10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84"/>
      <c r="B3" s="85"/>
      <c r="C3" s="86" t="s">
        <v>55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</row>
    <row r="4" spans="1:15" x14ac:dyDescent="0.2">
      <c r="A4" s="86" t="s">
        <v>0</v>
      </c>
      <c r="B4" s="86" t="s">
        <v>24</v>
      </c>
      <c r="C4" s="88">
        <v>44562</v>
      </c>
      <c r="D4" s="89">
        <v>44593</v>
      </c>
      <c r="E4" s="89">
        <v>44621</v>
      </c>
      <c r="F4" s="89">
        <v>44652</v>
      </c>
      <c r="G4" s="89">
        <v>44682</v>
      </c>
      <c r="H4" s="89">
        <v>44713</v>
      </c>
      <c r="I4" s="89">
        <v>44743</v>
      </c>
      <c r="J4" s="89">
        <v>44774</v>
      </c>
      <c r="K4" s="89">
        <v>44805</v>
      </c>
      <c r="L4" s="89">
        <v>44835</v>
      </c>
      <c r="M4" s="89">
        <v>44866</v>
      </c>
      <c r="N4" s="89">
        <v>44896</v>
      </c>
      <c r="O4" s="90" t="s">
        <v>18</v>
      </c>
    </row>
    <row r="5" spans="1:15" x14ac:dyDescent="0.2">
      <c r="A5" s="84" t="s">
        <v>14</v>
      </c>
      <c r="B5" s="84" t="s">
        <v>72</v>
      </c>
      <c r="C5" s="91">
        <v>986.77148814020245</v>
      </c>
      <c r="D5" s="92">
        <v>879.58578338141228</v>
      </c>
      <c r="E5" s="92">
        <v>773.50508588817661</v>
      </c>
      <c r="F5" s="92">
        <v>606.64898878944132</v>
      </c>
      <c r="G5" s="92">
        <v>832.07047096256713</v>
      </c>
      <c r="H5" s="92">
        <v>1040.9168441523748</v>
      </c>
      <c r="I5" s="92">
        <v>1144.7875271145012</v>
      </c>
      <c r="J5" s="92">
        <v>1054.1769313390294</v>
      </c>
      <c r="K5" s="92">
        <v>950.30624837690266</v>
      </c>
      <c r="L5" s="92">
        <v>650.84927941162289</v>
      </c>
      <c r="M5" s="92">
        <v>806.6553038548127</v>
      </c>
      <c r="N5" s="92">
        <v>1240.9231592177462</v>
      </c>
      <c r="O5" s="93">
        <v>10967.197110628789</v>
      </c>
    </row>
    <row r="6" spans="1:15" x14ac:dyDescent="0.2">
      <c r="A6" s="216"/>
      <c r="B6" s="94" t="s">
        <v>25</v>
      </c>
      <c r="C6" s="220">
        <v>60.824051595287642</v>
      </c>
      <c r="D6" s="221">
        <v>54.217183728834243</v>
      </c>
      <c r="E6" s="221">
        <v>47.678427902241197</v>
      </c>
      <c r="F6" s="221">
        <v>37.393509883329102</v>
      </c>
      <c r="G6" s="221">
        <v>51.288366014839426</v>
      </c>
      <c r="H6" s="221">
        <v>64.161541548444575</v>
      </c>
      <c r="I6" s="221">
        <v>70.564073295316803</v>
      </c>
      <c r="J6" s="221">
        <v>64.978886026768805</v>
      </c>
      <c r="K6" s="221">
        <v>58.576354279896236</v>
      </c>
      <c r="L6" s="221">
        <v>40.117991477742976</v>
      </c>
      <c r="M6" s="221">
        <v>49.721789098051431</v>
      </c>
      <c r="N6" s="221">
        <v>76.489820763167018</v>
      </c>
      <c r="O6" s="222">
        <v>676.01199561391945</v>
      </c>
    </row>
    <row r="7" spans="1:15" x14ac:dyDescent="0.2">
      <c r="A7" s="216"/>
      <c r="B7" s="94" t="s">
        <v>26</v>
      </c>
      <c r="C7" s="220">
        <v>3.3214249422314057</v>
      </c>
      <c r="D7" s="221">
        <v>2.9606430616082857</v>
      </c>
      <c r="E7" s="221">
        <v>2.6035805818163316</v>
      </c>
      <c r="F7" s="221">
        <v>2.041951056310237</v>
      </c>
      <c r="G7" s="221">
        <v>2.8007088258681394</v>
      </c>
      <c r="H7" s="221">
        <v>3.5036755829585493</v>
      </c>
      <c r="I7" s="221">
        <v>3.8532992610881704</v>
      </c>
      <c r="J7" s="221">
        <v>3.5483083929325434</v>
      </c>
      <c r="K7" s="221">
        <v>3.1986847148029218</v>
      </c>
      <c r="L7" s="221">
        <v>2.1907270895568849</v>
      </c>
      <c r="M7" s="221">
        <v>2.7151626067513175</v>
      </c>
      <c r="N7" s="221">
        <v>4.1768871333996289</v>
      </c>
      <c r="O7" s="222">
        <v>36.915053249324423</v>
      </c>
    </row>
    <row r="8" spans="1:15" x14ac:dyDescent="0.2">
      <c r="A8" s="216"/>
      <c r="B8" s="94" t="s">
        <v>27</v>
      </c>
      <c r="C8" s="220">
        <v>64.145476537519045</v>
      </c>
      <c r="D8" s="221">
        <v>57.177826790442531</v>
      </c>
      <c r="E8" s="221">
        <v>50.282008484057528</v>
      </c>
      <c r="F8" s="221">
        <v>39.435460939639341</v>
      </c>
      <c r="G8" s="221">
        <v>54.089074840707568</v>
      </c>
      <c r="H8" s="221">
        <v>67.665217131403125</v>
      </c>
      <c r="I8" s="221">
        <v>74.41737255640497</v>
      </c>
      <c r="J8" s="221">
        <v>68.527194419701345</v>
      </c>
      <c r="K8" s="221">
        <v>61.775038994699159</v>
      </c>
      <c r="L8" s="221">
        <v>42.308718567299863</v>
      </c>
      <c r="M8" s="221">
        <v>52.436951704802752</v>
      </c>
      <c r="N8" s="221">
        <v>80.666707896566649</v>
      </c>
      <c r="O8" s="222">
        <v>712.92704886324384</v>
      </c>
    </row>
    <row r="9" spans="1:15" x14ac:dyDescent="0.2">
      <c r="A9" s="216"/>
      <c r="B9" s="94" t="s">
        <v>51</v>
      </c>
      <c r="C9" s="95">
        <v>925.94743654491481</v>
      </c>
      <c r="D9" s="96">
        <v>825.36859965257804</v>
      </c>
      <c r="E9" s="96">
        <v>725.82665798593541</v>
      </c>
      <c r="F9" s="96">
        <v>569.25547890611222</v>
      </c>
      <c r="G9" s="96">
        <v>780.7821049477277</v>
      </c>
      <c r="H9" s="96">
        <v>976.7553026039302</v>
      </c>
      <c r="I9" s="96">
        <v>1074.2234538191844</v>
      </c>
      <c r="J9" s="96">
        <v>989.19804531226055</v>
      </c>
      <c r="K9" s="96">
        <v>891.72989409700642</v>
      </c>
      <c r="L9" s="96">
        <v>610.73128793387991</v>
      </c>
      <c r="M9" s="96">
        <v>756.93351475676127</v>
      </c>
      <c r="N9" s="96">
        <v>1164.4333384545791</v>
      </c>
      <c r="O9" s="97">
        <v>10291.18511501487</v>
      </c>
    </row>
    <row r="10" spans="1:15" x14ac:dyDescent="0.2">
      <c r="A10" s="216"/>
      <c r="B10" s="94" t="s">
        <v>89</v>
      </c>
      <c r="C10" s="95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7">
        <v>0</v>
      </c>
    </row>
    <row r="11" spans="1:15" x14ac:dyDescent="0.2">
      <c r="A11" s="216"/>
      <c r="B11" s="94" t="s">
        <v>91</v>
      </c>
      <c r="C11" s="95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  <row r="12" spans="1:15" x14ac:dyDescent="0.2">
      <c r="A12" s="84" t="s">
        <v>17</v>
      </c>
      <c r="B12" s="84" t="s">
        <v>72</v>
      </c>
      <c r="C12" s="91">
        <v>117.13077014878102</v>
      </c>
      <c r="D12" s="92">
        <v>111.60573382100834</v>
      </c>
      <c r="E12" s="92">
        <v>107.18570475879018</v>
      </c>
      <c r="F12" s="92">
        <v>108.29071202434473</v>
      </c>
      <c r="G12" s="92">
        <v>114.92075561767194</v>
      </c>
      <c r="H12" s="92">
        <v>127.07583553877187</v>
      </c>
      <c r="I12" s="92">
        <v>46.410305153290594</v>
      </c>
      <c r="J12" s="92">
        <v>45.30529788773606</v>
      </c>
      <c r="K12" s="92">
        <v>127.07583553877187</v>
      </c>
      <c r="L12" s="92">
        <v>116.02576288322649</v>
      </c>
      <c r="M12" s="92">
        <v>114.92075561767194</v>
      </c>
      <c r="N12" s="92">
        <v>114.92075561767194</v>
      </c>
      <c r="O12" s="93">
        <v>1250.8682246077374</v>
      </c>
    </row>
    <row r="13" spans="1:15" x14ac:dyDescent="0.2">
      <c r="A13" s="216"/>
      <c r="B13" s="94" t="s">
        <v>25</v>
      </c>
      <c r="C13" s="220">
        <v>7.219876225196515</v>
      </c>
      <c r="D13" s="221">
        <v>6.8793160258948092</v>
      </c>
      <c r="E13" s="221">
        <v>6.6068678664534133</v>
      </c>
      <c r="F13" s="221">
        <v>6.6749799063137658</v>
      </c>
      <c r="G13" s="221">
        <v>7.0836521454758241</v>
      </c>
      <c r="H13" s="221">
        <v>7.8328845839396166</v>
      </c>
      <c r="I13" s="221">
        <v>2.860705674134465</v>
      </c>
      <c r="J13" s="221">
        <v>2.7925936342741267</v>
      </c>
      <c r="K13" s="221">
        <v>7.8328845839396166</v>
      </c>
      <c r="L13" s="221">
        <v>7.1517641853361766</v>
      </c>
      <c r="M13" s="221">
        <v>7.0836521454758241</v>
      </c>
      <c r="N13" s="221">
        <v>7.0836521454758241</v>
      </c>
      <c r="O13" s="222">
        <v>77.102829121909977</v>
      </c>
    </row>
    <row r="14" spans="1:15" x14ac:dyDescent="0.2">
      <c r="A14" s="216"/>
      <c r="B14" s="94" t="s">
        <v>26</v>
      </c>
      <c r="C14" s="220">
        <v>0.39425648810361591</v>
      </c>
      <c r="D14" s="221">
        <v>0.37565948394778498</v>
      </c>
      <c r="E14" s="221">
        <v>0.36078188062312022</v>
      </c>
      <c r="F14" s="221">
        <v>0.36450128145428645</v>
      </c>
      <c r="G14" s="221">
        <v>0.3868176864412835</v>
      </c>
      <c r="H14" s="221">
        <v>0.42773109558411165</v>
      </c>
      <c r="I14" s="221">
        <v>0.15621483490897989</v>
      </c>
      <c r="J14" s="221">
        <v>0.15249543407781369</v>
      </c>
      <c r="K14" s="221">
        <v>0.42773109558411165</v>
      </c>
      <c r="L14" s="221">
        <v>0.39053708727244979</v>
      </c>
      <c r="M14" s="221">
        <v>0.3868176864412835</v>
      </c>
      <c r="N14" s="221">
        <v>0.3868176864412835</v>
      </c>
      <c r="O14" s="222">
        <v>4.210361740880125</v>
      </c>
    </row>
    <row r="15" spans="1:15" x14ac:dyDescent="0.2">
      <c r="A15" s="216"/>
      <c r="B15" s="94" t="s">
        <v>27</v>
      </c>
      <c r="C15" s="220">
        <v>7.6141327133001306</v>
      </c>
      <c r="D15" s="221">
        <v>7.2549755098425939</v>
      </c>
      <c r="E15" s="221">
        <v>6.9676497470765337</v>
      </c>
      <c r="F15" s="221">
        <v>7.0394811877680521</v>
      </c>
      <c r="G15" s="221">
        <v>7.4704698319171072</v>
      </c>
      <c r="H15" s="221">
        <v>8.2606156795237276</v>
      </c>
      <c r="I15" s="221">
        <v>3.016920509043445</v>
      </c>
      <c r="J15" s="221">
        <v>2.9450890683519404</v>
      </c>
      <c r="K15" s="221">
        <v>8.2606156795237276</v>
      </c>
      <c r="L15" s="221">
        <v>7.5423012726086265</v>
      </c>
      <c r="M15" s="221">
        <v>7.4704698319171072</v>
      </c>
      <c r="N15" s="221">
        <v>7.4704698319171072</v>
      </c>
      <c r="O15" s="222">
        <v>81.313190862790123</v>
      </c>
    </row>
    <row r="16" spans="1:15" x14ac:dyDescent="0.2">
      <c r="A16" s="216"/>
      <c r="B16" s="94" t="s">
        <v>51</v>
      </c>
      <c r="C16" s="95">
        <v>109.91089392358451</v>
      </c>
      <c r="D16" s="96">
        <v>104.72641779511353</v>
      </c>
      <c r="E16" s="96">
        <v>100.57883689233677</v>
      </c>
      <c r="F16" s="96">
        <v>101.61573211803096</v>
      </c>
      <c r="G16" s="96">
        <v>107.83710347219612</v>
      </c>
      <c r="H16" s="96">
        <v>119.24295095483225</v>
      </c>
      <c r="I16" s="96">
        <v>43.549599479156129</v>
      </c>
      <c r="J16" s="96">
        <v>42.512704253461933</v>
      </c>
      <c r="K16" s="96">
        <v>119.24295095483225</v>
      </c>
      <c r="L16" s="96">
        <v>108.87399869789031</v>
      </c>
      <c r="M16" s="96">
        <v>107.83710347219612</v>
      </c>
      <c r="N16" s="96">
        <v>107.83710347219612</v>
      </c>
      <c r="O16" s="97">
        <v>1173.765395485827</v>
      </c>
    </row>
    <row r="17" spans="1:15" x14ac:dyDescent="0.2">
      <c r="A17" s="216"/>
      <c r="B17" s="94" t="s">
        <v>89</v>
      </c>
      <c r="C17" s="95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7">
        <v>0</v>
      </c>
    </row>
    <row r="18" spans="1:15" x14ac:dyDescent="0.2">
      <c r="A18" s="216"/>
      <c r="B18" s="94" t="s">
        <v>91</v>
      </c>
      <c r="C18" s="95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7">
        <v>0</v>
      </c>
    </row>
    <row r="19" spans="1:15" x14ac:dyDescent="0.2">
      <c r="A19" s="84" t="s">
        <v>13</v>
      </c>
      <c r="B19" s="84" t="s">
        <v>72</v>
      </c>
      <c r="C19" s="91">
        <v>1154.7325925044922</v>
      </c>
      <c r="D19" s="92">
        <v>1230.9780938277554</v>
      </c>
      <c r="E19" s="92">
        <v>1079.5920984467837</v>
      </c>
      <c r="F19" s="92">
        <v>595.59891613389595</v>
      </c>
      <c r="G19" s="92">
        <v>833.17547822812162</v>
      </c>
      <c r="H19" s="92">
        <v>1045.336873214593</v>
      </c>
      <c r="I19" s="92">
        <v>1081.8021129778926</v>
      </c>
      <c r="J19" s="92">
        <v>1075.1720693845655</v>
      </c>
      <c r="K19" s="92">
        <v>935.94115392469371</v>
      </c>
      <c r="L19" s="92">
        <v>672.94942472271362</v>
      </c>
      <c r="M19" s="92">
        <v>891.74086330251214</v>
      </c>
      <c r="N19" s="92">
        <v>1584.5804188052075</v>
      </c>
      <c r="O19" s="93">
        <v>12181.600095473226</v>
      </c>
    </row>
    <row r="20" spans="1:15" x14ac:dyDescent="0.2">
      <c r="A20" s="216"/>
      <c r="B20" s="94" t="s">
        <v>25</v>
      </c>
      <c r="C20" s="220">
        <v>71.177081654059975</v>
      </c>
      <c r="D20" s="221">
        <v>75.876812404423845</v>
      </c>
      <c r="E20" s="221">
        <v>66.545462943556686</v>
      </c>
      <c r="F20" s="221">
        <v>36.712389484725691</v>
      </c>
      <c r="G20" s="221">
        <v>51.356478054699778</v>
      </c>
      <c r="H20" s="221">
        <v>64.433989707885985</v>
      </c>
      <c r="I20" s="221">
        <v>66.681687023277277</v>
      </c>
      <c r="J20" s="221">
        <v>66.273014784115276</v>
      </c>
      <c r="K20" s="221">
        <v>57.690897761711881</v>
      </c>
      <c r="L20" s="221">
        <v>41.480232274949799</v>
      </c>
      <c r="M20" s="221">
        <v>54.966416167298007</v>
      </c>
      <c r="N20" s="221">
        <v>97.672665159734152</v>
      </c>
      <c r="O20" s="222">
        <v>750.86712742043835</v>
      </c>
    </row>
    <row r="21" spans="1:15" x14ac:dyDescent="0.2">
      <c r="A21" s="216"/>
      <c r="B21" s="94" t="s">
        <v>26</v>
      </c>
      <c r="C21" s="220">
        <v>3.8867738685686666</v>
      </c>
      <c r="D21" s="221">
        <v>4.1434125259191337</v>
      </c>
      <c r="E21" s="221">
        <v>3.6338546120493653</v>
      </c>
      <c r="F21" s="221">
        <v>2.0047570479985755</v>
      </c>
      <c r="G21" s="221">
        <v>2.8044282266993057</v>
      </c>
      <c r="H21" s="221">
        <v>3.518553186283214</v>
      </c>
      <c r="I21" s="221">
        <v>3.6412934137116979</v>
      </c>
      <c r="J21" s="221">
        <v>3.6189770087247006</v>
      </c>
      <c r="K21" s="221">
        <v>3.1503325039977614</v>
      </c>
      <c r="L21" s="221">
        <v>2.2651151061802084</v>
      </c>
      <c r="M21" s="221">
        <v>3.0015564707511135</v>
      </c>
      <c r="N21" s="221">
        <v>5.3336207918923133</v>
      </c>
      <c r="O21" s="222">
        <v>41.00267476277606</v>
      </c>
    </row>
    <row r="22" spans="1:15" x14ac:dyDescent="0.2">
      <c r="A22" s="216"/>
      <c r="B22" s="94" t="s">
        <v>27</v>
      </c>
      <c r="C22" s="220">
        <v>75.063855522628643</v>
      </c>
      <c r="D22" s="221">
        <v>80.020224930342977</v>
      </c>
      <c r="E22" s="221">
        <v>70.179317555606048</v>
      </c>
      <c r="F22" s="221">
        <v>38.717146532724264</v>
      </c>
      <c r="G22" s="221">
        <v>54.160906281399086</v>
      </c>
      <c r="H22" s="221">
        <v>67.952542894169198</v>
      </c>
      <c r="I22" s="221">
        <v>70.322980436988971</v>
      </c>
      <c r="J22" s="221">
        <v>69.891991792839974</v>
      </c>
      <c r="K22" s="221">
        <v>60.84123026570964</v>
      </c>
      <c r="L22" s="221">
        <v>43.74534738113001</v>
      </c>
      <c r="M22" s="221">
        <v>57.967972638049119</v>
      </c>
      <c r="N22" s="221">
        <v>103.00628595162647</v>
      </c>
      <c r="O22" s="222">
        <v>791.86980218321446</v>
      </c>
    </row>
    <row r="23" spans="1:15" x14ac:dyDescent="0.2">
      <c r="A23" s="216"/>
      <c r="B23" s="94" t="s">
        <v>51</v>
      </c>
      <c r="C23" s="95">
        <v>1083.5555108504323</v>
      </c>
      <c r="D23" s="96">
        <v>1155.1012814233316</v>
      </c>
      <c r="E23" s="96">
        <v>1013.046635503227</v>
      </c>
      <c r="F23" s="96">
        <v>558.88652664917026</v>
      </c>
      <c r="G23" s="96">
        <v>781.81900017342184</v>
      </c>
      <c r="H23" s="96">
        <v>980.90288350670698</v>
      </c>
      <c r="I23" s="96">
        <v>1015.1204259546154</v>
      </c>
      <c r="J23" s="96">
        <v>1008.8990546004502</v>
      </c>
      <c r="K23" s="96">
        <v>878.25025616298183</v>
      </c>
      <c r="L23" s="96">
        <v>631.46919244776382</v>
      </c>
      <c r="M23" s="96">
        <v>836.77444713521413</v>
      </c>
      <c r="N23" s="96">
        <v>1486.9077536454733</v>
      </c>
      <c r="O23" s="97">
        <v>11430.732968052791</v>
      </c>
    </row>
    <row r="24" spans="1:15" x14ac:dyDescent="0.2">
      <c r="A24" s="216"/>
      <c r="B24" s="94" t="s">
        <v>89</v>
      </c>
      <c r="C24" s="95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7">
        <v>0</v>
      </c>
    </row>
    <row r="25" spans="1:15" x14ac:dyDescent="0.2">
      <c r="A25" s="216"/>
      <c r="B25" s="94" t="s">
        <v>91</v>
      </c>
      <c r="C25" s="95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7">
        <v>0</v>
      </c>
    </row>
    <row r="26" spans="1:15" x14ac:dyDescent="0.2">
      <c r="A26" s="84" t="s">
        <v>15</v>
      </c>
      <c r="B26" s="84" t="s">
        <v>72</v>
      </c>
      <c r="C26" s="91">
        <v>8.8400581244363039</v>
      </c>
      <c r="D26" s="92">
        <v>7.7350508588817659</v>
      </c>
      <c r="E26" s="92">
        <v>5.5250363277726899</v>
      </c>
      <c r="F26" s="92">
        <v>7.7350508588817659</v>
      </c>
      <c r="G26" s="92">
        <v>11.05007265554538</v>
      </c>
      <c r="H26" s="92">
        <v>15.470101717763532</v>
      </c>
      <c r="I26" s="92">
        <v>19.890130779981682</v>
      </c>
      <c r="J26" s="92">
        <v>17.680116248872608</v>
      </c>
      <c r="K26" s="92">
        <v>9.945065389990841</v>
      </c>
      <c r="L26" s="92">
        <v>6.6300435933272279</v>
      </c>
      <c r="M26" s="92">
        <v>6.6300435933272279</v>
      </c>
      <c r="N26" s="92">
        <v>8.8400581244363039</v>
      </c>
      <c r="O26" s="93">
        <v>125.97082827321734</v>
      </c>
    </row>
    <row r="27" spans="1:15" x14ac:dyDescent="0.2">
      <c r="A27" s="216"/>
      <c r="B27" s="94" t="s">
        <v>25</v>
      </c>
      <c r="C27" s="220">
        <v>0.54489631888275625</v>
      </c>
      <c r="D27" s="221">
        <v>0.47678427902241172</v>
      </c>
      <c r="E27" s="221">
        <v>0.34056019930172265</v>
      </c>
      <c r="F27" s="221">
        <v>0.47678427902241172</v>
      </c>
      <c r="G27" s="221">
        <v>0.68112039860344531</v>
      </c>
      <c r="H27" s="221">
        <v>0.95356855804482343</v>
      </c>
      <c r="I27" s="221">
        <v>1.2260167174861998</v>
      </c>
      <c r="J27" s="221">
        <v>1.0897926377655125</v>
      </c>
      <c r="K27" s="221">
        <v>0.61300835874309989</v>
      </c>
      <c r="L27" s="221">
        <v>0.40867223916206719</v>
      </c>
      <c r="M27" s="221">
        <v>0.40867223916206719</v>
      </c>
      <c r="N27" s="221">
        <v>0.54489631888275625</v>
      </c>
      <c r="O27" s="222">
        <v>7.7647725440792739</v>
      </c>
    </row>
    <row r="28" spans="1:15" x14ac:dyDescent="0.2">
      <c r="A28" s="216"/>
      <c r="B28" s="94" t="s">
        <v>26</v>
      </c>
      <c r="C28" s="220">
        <v>2.9755206649329506E-2</v>
      </c>
      <c r="D28" s="221">
        <v>2.6035805818163314E-2</v>
      </c>
      <c r="E28" s="221">
        <v>1.8597004155830939E-2</v>
      </c>
      <c r="F28" s="221">
        <v>2.6035805818163314E-2</v>
      </c>
      <c r="G28" s="221">
        <v>3.7194008311661877E-2</v>
      </c>
      <c r="H28" s="221">
        <v>5.2071611636326627E-2</v>
      </c>
      <c r="I28" s="221">
        <v>6.6949214960991391E-2</v>
      </c>
      <c r="J28" s="221">
        <v>5.9510413298659012E-2</v>
      </c>
      <c r="K28" s="221">
        <v>3.3474607480495695E-2</v>
      </c>
      <c r="L28" s="221">
        <v>2.2316404986997128E-2</v>
      </c>
      <c r="M28" s="221">
        <v>2.2316404986997128E-2</v>
      </c>
      <c r="N28" s="221">
        <v>2.9755206649329506E-2</v>
      </c>
      <c r="O28" s="222">
        <v>0.42401169475294537</v>
      </c>
    </row>
    <row r="29" spans="1:15" x14ac:dyDescent="0.2">
      <c r="A29" s="216"/>
      <c r="B29" s="94" t="s">
        <v>27</v>
      </c>
      <c r="C29" s="220">
        <v>0.57465152553208576</v>
      </c>
      <c r="D29" s="221">
        <v>0.50282008484057505</v>
      </c>
      <c r="E29" s="221">
        <v>0.35915720345755359</v>
      </c>
      <c r="F29" s="221">
        <v>0.50282008484057505</v>
      </c>
      <c r="G29" s="221">
        <v>0.71831440691510717</v>
      </c>
      <c r="H29" s="221">
        <v>1.0056401696811501</v>
      </c>
      <c r="I29" s="221">
        <v>1.2929659324471912</v>
      </c>
      <c r="J29" s="221">
        <v>1.1493030510641715</v>
      </c>
      <c r="K29" s="221">
        <v>0.64648296622359558</v>
      </c>
      <c r="L29" s="221">
        <v>0.43098864414906429</v>
      </c>
      <c r="M29" s="221">
        <v>0.43098864414906429</v>
      </c>
      <c r="N29" s="221">
        <v>0.57465152553208576</v>
      </c>
      <c r="O29" s="222">
        <v>8.1887842388322198</v>
      </c>
    </row>
    <row r="30" spans="1:15" x14ac:dyDescent="0.2">
      <c r="A30" s="216"/>
      <c r="B30" s="94" t="s">
        <v>51</v>
      </c>
      <c r="C30" s="95">
        <v>8.2951618055535477</v>
      </c>
      <c r="D30" s="96">
        <v>7.2582665798593542</v>
      </c>
      <c r="E30" s="96">
        <v>5.1844761284709673</v>
      </c>
      <c r="F30" s="96">
        <v>7.2582665798593542</v>
      </c>
      <c r="G30" s="96">
        <v>10.368952256941935</v>
      </c>
      <c r="H30" s="96">
        <v>14.516533159718708</v>
      </c>
      <c r="I30" s="96">
        <v>18.664114062495482</v>
      </c>
      <c r="J30" s="96">
        <v>16.590323611107095</v>
      </c>
      <c r="K30" s="96">
        <v>9.3320570312477411</v>
      </c>
      <c r="L30" s="96">
        <v>6.2213713541651607</v>
      </c>
      <c r="M30" s="96">
        <v>6.2213713541651607</v>
      </c>
      <c r="N30" s="96">
        <v>8.2951618055535477</v>
      </c>
      <c r="O30" s="97">
        <v>118.20605572913804</v>
      </c>
    </row>
    <row r="31" spans="1:15" x14ac:dyDescent="0.2">
      <c r="A31" s="216"/>
      <c r="B31" s="94" t="s">
        <v>89</v>
      </c>
      <c r="C31" s="95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7">
        <v>0</v>
      </c>
    </row>
    <row r="32" spans="1:15" x14ac:dyDescent="0.2">
      <c r="A32" s="216"/>
      <c r="B32" s="94" t="s">
        <v>91</v>
      </c>
      <c r="C32" s="95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7">
        <v>0</v>
      </c>
    </row>
    <row r="33" spans="1:15" x14ac:dyDescent="0.2">
      <c r="A33" s="84" t="s">
        <v>16</v>
      </c>
      <c r="B33" s="84" t="s">
        <v>72</v>
      </c>
      <c r="C33" s="91">
        <v>3.315021796663614</v>
      </c>
      <c r="D33" s="92">
        <v>2.210014531109076</v>
      </c>
      <c r="E33" s="92">
        <v>3.315021796663614</v>
      </c>
      <c r="F33" s="92">
        <v>2.210014531109076</v>
      </c>
      <c r="G33" s="92">
        <v>3.315021796663614</v>
      </c>
      <c r="H33" s="92">
        <v>5.5250363277726899</v>
      </c>
      <c r="I33" s="92">
        <v>6.6300435933272279</v>
      </c>
      <c r="J33" s="92">
        <v>6.6300435933272279</v>
      </c>
      <c r="K33" s="92">
        <v>3.315021796663614</v>
      </c>
      <c r="L33" s="92">
        <v>2.210014531109076</v>
      </c>
      <c r="M33" s="92">
        <v>1.105007265554538</v>
      </c>
      <c r="N33" s="92">
        <v>4.4200290622181519</v>
      </c>
      <c r="O33" s="93">
        <v>44.200290622181527</v>
      </c>
    </row>
    <row r="34" spans="1:15" x14ac:dyDescent="0.2">
      <c r="A34" s="216"/>
      <c r="B34" s="94" t="s">
        <v>25</v>
      </c>
      <c r="C34" s="220">
        <v>0.20433611958103359</v>
      </c>
      <c r="D34" s="221">
        <v>0.13622407972068906</v>
      </c>
      <c r="E34" s="221">
        <v>0.20433611958103359</v>
      </c>
      <c r="F34" s="221">
        <v>0.13622407972068906</v>
      </c>
      <c r="G34" s="221">
        <v>0.20433611958103359</v>
      </c>
      <c r="H34" s="221">
        <v>0.34056019930172265</v>
      </c>
      <c r="I34" s="221">
        <v>0.40867223916206719</v>
      </c>
      <c r="J34" s="221">
        <v>0.40867223916206719</v>
      </c>
      <c r="K34" s="221">
        <v>0.20433611958103359</v>
      </c>
      <c r="L34" s="221">
        <v>0.13622407972068906</v>
      </c>
      <c r="M34" s="221">
        <v>6.8112039860344531E-2</v>
      </c>
      <c r="N34" s="221">
        <v>0.27244815944137812</v>
      </c>
      <c r="O34" s="222">
        <v>2.7244815944137812</v>
      </c>
    </row>
    <row r="35" spans="1:15" x14ac:dyDescent="0.2">
      <c r="A35" s="216"/>
      <c r="B35" s="94" t="s">
        <v>26</v>
      </c>
      <c r="C35" s="220">
        <v>1.1158202493498564E-2</v>
      </c>
      <c r="D35" s="221">
        <v>7.4388016623323765E-3</v>
      </c>
      <c r="E35" s="221">
        <v>1.1158202493498564E-2</v>
      </c>
      <c r="F35" s="221">
        <v>7.4388016623323765E-3</v>
      </c>
      <c r="G35" s="221">
        <v>1.1158202493498564E-2</v>
      </c>
      <c r="H35" s="221">
        <v>1.8597004155830939E-2</v>
      </c>
      <c r="I35" s="221">
        <v>2.2316404986997128E-2</v>
      </c>
      <c r="J35" s="221">
        <v>2.2316404986997128E-2</v>
      </c>
      <c r="K35" s="221">
        <v>1.1158202493498564E-2</v>
      </c>
      <c r="L35" s="221">
        <v>7.4388016623323765E-3</v>
      </c>
      <c r="M35" s="221">
        <v>3.7194008311661883E-3</v>
      </c>
      <c r="N35" s="221">
        <v>1.4877603324664753E-2</v>
      </c>
      <c r="O35" s="222">
        <v>0.14877603324664751</v>
      </c>
    </row>
    <row r="36" spans="1:15" x14ac:dyDescent="0.2">
      <c r="A36" s="216"/>
      <c r="B36" s="94" t="s">
        <v>27</v>
      </c>
      <c r="C36" s="220">
        <v>0.21549432207453215</v>
      </c>
      <c r="D36" s="221">
        <v>0.14366288138302144</v>
      </c>
      <c r="E36" s="221">
        <v>0.21549432207453215</v>
      </c>
      <c r="F36" s="221">
        <v>0.14366288138302144</v>
      </c>
      <c r="G36" s="221">
        <v>0.21549432207453215</v>
      </c>
      <c r="H36" s="221">
        <v>0.35915720345755359</v>
      </c>
      <c r="I36" s="221">
        <v>0.43098864414906429</v>
      </c>
      <c r="J36" s="221">
        <v>0.43098864414906429</v>
      </c>
      <c r="K36" s="221">
        <v>0.21549432207453215</v>
      </c>
      <c r="L36" s="221">
        <v>0.14366288138302144</v>
      </c>
      <c r="M36" s="221">
        <v>7.183144069151072E-2</v>
      </c>
      <c r="N36" s="221">
        <v>0.28732576276604288</v>
      </c>
      <c r="O36" s="222">
        <v>2.8732576276604287</v>
      </c>
    </row>
    <row r="37" spans="1:15" x14ac:dyDescent="0.2">
      <c r="A37" s="216"/>
      <c r="B37" s="94" t="s">
        <v>51</v>
      </c>
      <c r="C37" s="95">
        <v>3.1106856770825804</v>
      </c>
      <c r="D37" s="96">
        <v>2.0737904513883869</v>
      </c>
      <c r="E37" s="96">
        <v>3.1106856770825804</v>
      </c>
      <c r="F37" s="96">
        <v>2.0737904513883869</v>
      </c>
      <c r="G37" s="96">
        <v>3.1106856770825804</v>
      </c>
      <c r="H37" s="96">
        <v>5.1844761284709673</v>
      </c>
      <c r="I37" s="96">
        <v>6.2213713541651607</v>
      </c>
      <c r="J37" s="96">
        <v>6.2213713541651607</v>
      </c>
      <c r="K37" s="96">
        <v>3.1106856770825804</v>
      </c>
      <c r="L37" s="96">
        <v>2.0737904513883869</v>
      </c>
      <c r="M37" s="96">
        <v>1.0368952256941935</v>
      </c>
      <c r="N37" s="96">
        <v>4.1475809027767738</v>
      </c>
      <c r="O37" s="97">
        <v>41.475809027767745</v>
      </c>
    </row>
    <row r="38" spans="1:15" x14ac:dyDescent="0.2">
      <c r="A38" s="216"/>
      <c r="B38" s="94" t="s">
        <v>89</v>
      </c>
      <c r="C38" s="95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7">
        <v>0</v>
      </c>
    </row>
    <row r="39" spans="1:15" x14ac:dyDescent="0.2">
      <c r="A39" s="216"/>
      <c r="B39" s="94" t="s">
        <v>91</v>
      </c>
      <c r="C39" s="95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7">
        <v>0</v>
      </c>
    </row>
    <row r="40" spans="1:15" x14ac:dyDescent="0.2">
      <c r="A40" s="84" t="s">
        <v>19</v>
      </c>
      <c r="B40" s="84" t="s">
        <v>72</v>
      </c>
      <c r="C40" s="91">
        <v>46.410305153290594</v>
      </c>
      <c r="D40" s="92">
        <v>47.515312418845134</v>
      </c>
      <c r="E40" s="92">
        <v>46.410305153290594</v>
      </c>
      <c r="F40" s="92">
        <v>57.460377808835972</v>
      </c>
      <c r="G40" s="92">
        <v>57.460377808835972</v>
      </c>
      <c r="H40" s="92">
        <v>61.880406871054127</v>
      </c>
      <c r="I40" s="92">
        <v>64.090421402163201</v>
      </c>
      <c r="J40" s="92">
        <v>66.300435933272283</v>
      </c>
      <c r="K40" s="92">
        <v>64.090421402163201</v>
      </c>
      <c r="L40" s="92">
        <v>61.880406871054127</v>
      </c>
      <c r="M40" s="92">
        <v>65.195428667717735</v>
      </c>
      <c r="N40" s="92">
        <v>64.090421402163201</v>
      </c>
      <c r="O40" s="93">
        <v>702.78462089268612</v>
      </c>
    </row>
    <row r="41" spans="1:15" x14ac:dyDescent="0.2">
      <c r="A41" s="216"/>
      <c r="B41" s="94" t="s">
        <v>25</v>
      </c>
      <c r="C41" s="220">
        <v>2.860705674134465</v>
      </c>
      <c r="D41" s="221">
        <v>2.9288177139948175</v>
      </c>
      <c r="E41" s="221">
        <v>2.860705674134465</v>
      </c>
      <c r="F41" s="221">
        <v>3.5418260727379121</v>
      </c>
      <c r="G41" s="221">
        <v>3.5418260727379121</v>
      </c>
      <c r="H41" s="221">
        <v>3.8142742321792937</v>
      </c>
      <c r="I41" s="221">
        <v>3.9504983118999775</v>
      </c>
      <c r="J41" s="221">
        <v>4.0867223916206754</v>
      </c>
      <c r="K41" s="221">
        <v>3.9504983118999775</v>
      </c>
      <c r="L41" s="221">
        <v>3.8142742321792937</v>
      </c>
      <c r="M41" s="221">
        <v>4.0186103517603229</v>
      </c>
      <c r="N41" s="221">
        <v>3.9504983118999775</v>
      </c>
      <c r="O41" s="222">
        <v>43.31925735117909</v>
      </c>
    </row>
    <row r="42" spans="1:15" x14ac:dyDescent="0.2">
      <c r="A42" s="216"/>
      <c r="B42" s="94" t="s">
        <v>26</v>
      </c>
      <c r="C42" s="220">
        <v>0.15621483490897989</v>
      </c>
      <c r="D42" s="221">
        <v>0.15993423574014609</v>
      </c>
      <c r="E42" s="221">
        <v>0.15621483490897989</v>
      </c>
      <c r="F42" s="221">
        <v>0.19340884322064175</v>
      </c>
      <c r="G42" s="221">
        <v>0.19340884322064175</v>
      </c>
      <c r="H42" s="221">
        <v>0.20828644654530651</v>
      </c>
      <c r="I42" s="221">
        <v>0.21572524820763891</v>
      </c>
      <c r="J42" s="221">
        <v>0.22316404986997126</v>
      </c>
      <c r="K42" s="221">
        <v>0.21572524820763891</v>
      </c>
      <c r="L42" s="221">
        <v>0.20828644654530651</v>
      </c>
      <c r="M42" s="221">
        <v>0.21944464903880512</v>
      </c>
      <c r="N42" s="221">
        <v>0.21572524820763891</v>
      </c>
      <c r="O42" s="222">
        <v>2.3655389286216955</v>
      </c>
    </row>
    <row r="43" spans="1:15" x14ac:dyDescent="0.2">
      <c r="A43" s="216"/>
      <c r="B43" s="94" t="s">
        <v>27</v>
      </c>
      <c r="C43" s="220">
        <v>3.016920509043445</v>
      </c>
      <c r="D43" s="221">
        <v>3.0887519497349638</v>
      </c>
      <c r="E43" s="221">
        <v>3.016920509043445</v>
      </c>
      <c r="F43" s="221">
        <v>3.7352349159585536</v>
      </c>
      <c r="G43" s="221">
        <v>3.7352349159585536</v>
      </c>
      <c r="H43" s="221">
        <v>4.0225606787246004</v>
      </c>
      <c r="I43" s="221">
        <v>4.1662235601076167</v>
      </c>
      <c r="J43" s="221">
        <v>4.3098864414906464</v>
      </c>
      <c r="K43" s="221">
        <v>4.1662235601076167</v>
      </c>
      <c r="L43" s="221">
        <v>4.0225606787246004</v>
      </c>
      <c r="M43" s="221">
        <v>4.238055000799128</v>
      </c>
      <c r="N43" s="221">
        <v>4.1662235601076167</v>
      </c>
      <c r="O43" s="222">
        <v>45.684796279800793</v>
      </c>
    </row>
    <row r="44" spans="1:15" x14ac:dyDescent="0.2">
      <c r="A44" s="216"/>
      <c r="B44" s="94" t="s">
        <v>51</v>
      </c>
      <c r="C44" s="95">
        <v>43.549599479156129</v>
      </c>
      <c r="D44" s="96">
        <v>44.586494704850317</v>
      </c>
      <c r="E44" s="96">
        <v>43.549599479156129</v>
      </c>
      <c r="F44" s="96">
        <v>53.91855173609806</v>
      </c>
      <c r="G44" s="96">
        <v>53.91855173609806</v>
      </c>
      <c r="H44" s="96">
        <v>58.066132638874834</v>
      </c>
      <c r="I44" s="96">
        <v>60.139923090263224</v>
      </c>
      <c r="J44" s="96">
        <v>62.213713541651607</v>
      </c>
      <c r="K44" s="96">
        <v>60.139923090263224</v>
      </c>
      <c r="L44" s="96">
        <v>58.066132638874834</v>
      </c>
      <c r="M44" s="96">
        <v>61.176818315957412</v>
      </c>
      <c r="N44" s="96">
        <v>60.139923090263224</v>
      </c>
      <c r="O44" s="97">
        <v>659.46536354150703</v>
      </c>
    </row>
    <row r="45" spans="1:15" x14ac:dyDescent="0.2">
      <c r="A45" s="216"/>
      <c r="B45" s="94" t="s">
        <v>89</v>
      </c>
      <c r="C45" s="95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7">
        <v>0</v>
      </c>
    </row>
    <row r="46" spans="1:15" x14ac:dyDescent="0.2">
      <c r="A46" s="216"/>
      <c r="B46" s="94" t="s">
        <v>91</v>
      </c>
      <c r="C46" s="95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7">
        <v>0</v>
      </c>
    </row>
    <row r="47" spans="1:15" x14ac:dyDescent="0.2">
      <c r="A47" s="84" t="s">
        <v>8</v>
      </c>
      <c r="B47" s="84" t="s">
        <v>72</v>
      </c>
      <c r="C47" s="91">
        <v>101.6606684310175</v>
      </c>
      <c r="D47" s="92">
        <v>97.24063936879935</v>
      </c>
      <c r="E47" s="92">
        <v>78.455515854372194</v>
      </c>
      <c r="F47" s="92">
        <v>83.980552182144891</v>
      </c>
      <c r="G47" s="92">
        <v>148.07097358430809</v>
      </c>
      <c r="H47" s="92">
        <v>160.226053505408</v>
      </c>
      <c r="I47" s="92">
        <v>177.90616975428063</v>
      </c>
      <c r="J47" s="92">
        <v>170.17111889539885</v>
      </c>
      <c r="K47" s="92">
        <v>145.86095905319902</v>
      </c>
      <c r="L47" s="92">
        <v>100.55566116546295</v>
      </c>
      <c r="M47" s="92">
        <v>74.035486792154046</v>
      </c>
      <c r="N47" s="92">
        <v>106.08069749323565</v>
      </c>
      <c r="O47" s="93">
        <v>1444.2444960797811</v>
      </c>
    </row>
    <row r="48" spans="1:15" x14ac:dyDescent="0.2">
      <c r="A48" s="216"/>
      <c r="B48" s="94" t="s">
        <v>25</v>
      </c>
      <c r="C48" s="220">
        <v>6.2663076671517075</v>
      </c>
      <c r="D48" s="221">
        <v>5.9938595077103258</v>
      </c>
      <c r="E48" s="221">
        <v>4.8359548300844608</v>
      </c>
      <c r="F48" s="221">
        <v>5.176515029386195</v>
      </c>
      <c r="G48" s="221">
        <v>9.1270133412861583</v>
      </c>
      <c r="H48" s="221">
        <v>9.8762457797499508</v>
      </c>
      <c r="I48" s="221">
        <v>10.966038417515477</v>
      </c>
      <c r="J48" s="221">
        <v>10.489254138493067</v>
      </c>
      <c r="K48" s="221">
        <v>8.9907892615654816</v>
      </c>
      <c r="L48" s="221">
        <v>6.1981956272913408</v>
      </c>
      <c r="M48" s="221">
        <v>4.5635066706430791</v>
      </c>
      <c r="N48" s="221">
        <v>6.538755826593075</v>
      </c>
      <c r="O48" s="222">
        <v>89.022436097470319</v>
      </c>
    </row>
    <row r="49" spans="1:15" x14ac:dyDescent="0.2">
      <c r="A49" s="216"/>
      <c r="B49" s="94" t="s">
        <v>26</v>
      </c>
      <c r="C49" s="220">
        <v>0.34218487646728929</v>
      </c>
      <c r="D49" s="221">
        <v>0.32730727314262453</v>
      </c>
      <c r="E49" s="221">
        <v>0.26407745901279933</v>
      </c>
      <c r="F49" s="221">
        <v>0.28267446316863032</v>
      </c>
      <c r="G49" s="221">
        <v>0.49839971137626921</v>
      </c>
      <c r="H49" s="221">
        <v>0.5393131205190973</v>
      </c>
      <c r="I49" s="221">
        <v>0.59882353381775622</v>
      </c>
      <c r="J49" s="221">
        <v>0.57278772799959299</v>
      </c>
      <c r="K49" s="221">
        <v>0.4909609097139368</v>
      </c>
      <c r="L49" s="221">
        <v>0.33846547563612306</v>
      </c>
      <c r="M49" s="221">
        <v>0.2491998556881346</v>
      </c>
      <c r="N49" s="221">
        <v>0.35706247979195405</v>
      </c>
      <c r="O49" s="222">
        <v>4.8612568863342069</v>
      </c>
    </row>
    <row r="50" spans="1:15" x14ac:dyDescent="0.2">
      <c r="A50" s="216"/>
      <c r="B50" s="94" t="s">
        <v>27</v>
      </c>
      <c r="C50" s="220">
        <v>6.608492543618997</v>
      </c>
      <c r="D50" s="221">
        <v>6.3211667808529501</v>
      </c>
      <c r="E50" s="221">
        <v>5.1000322890972605</v>
      </c>
      <c r="F50" s="221">
        <v>5.4591894925548257</v>
      </c>
      <c r="G50" s="221">
        <v>9.6254130526624273</v>
      </c>
      <c r="H50" s="221">
        <v>10.415558900269048</v>
      </c>
      <c r="I50" s="221">
        <v>11.564861951333233</v>
      </c>
      <c r="J50" s="221">
        <v>11.06204186649266</v>
      </c>
      <c r="K50" s="221">
        <v>9.481750171279419</v>
      </c>
      <c r="L50" s="221">
        <v>6.5366611029274635</v>
      </c>
      <c r="M50" s="221">
        <v>4.8127065263312137</v>
      </c>
      <c r="N50" s="221">
        <v>6.8958183063850287</v>
      </c>
      <c r="O50" s="222">
        <v>93.883692983804522</v>
      </c>
    </row>
    <row r="51" spans="1:15" x14ac:dyDescent="0.2">
      <c r="A51" s="216"/>
      <c r="B51" s="94" t="s">
        <v>51</v>
      </c>
      <c r="C51" s="95">
        <v>95.394360763865791</v>
      </c>
      <c r="D51" s="96">
        <v>91.246779861089024</v>
      </c>
      <c r="E51" s="96">
        <v>73.619561024287734</v>
      </c>
      <c r="F51" s="96">
        <v>78.804037152758696</v>
      </c>
      <c r="G51" s="96">
        <v>138.94396024302193</v>
      </c>
      <c r="H51" s="96">
        <v>150.34980772565805</v>
      </c>
      <c r="I51" s="96">
        <v>166.94013133676515</v>
      </c>
      <c r="J51" s="96">
        <v>159.68186475690578</v>
      </c>
      <c r="K51" s="96">
        <v>136.87016979163354</v>
      </c>
      <c r="L51" s="96">
        <v>94.35746553817161</v>
      </c>
      <c r="M51" s="96">
        <v>69.471980121510967</v>
      </c>
      <c r="N51" s="96">
        <v>99.541941666642572</v>
      </c>
      <c r="O51" s="97">
        <v>1355.2220599823108</v>
      </c>
    </row>
    <row r="52" spans="1:15" x14ac:dyDescent="0.2">
      <c r="A52" s="216"/>
      <c r="B52" s="94" t="s">
        <v>89</v>
      </c>
      <c r="C52" s="95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7">
        <v>0</v>
      </c>
    </row>
    <row r="53" spans="1:15" x14ac:dyDescent="0.2">
      <c r="A53" s="216"/>
      <c r="B53" s="94" t="s">
        <v>91</v>
      </c>
      <c r="C53" s="95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7">
        <v>0</v>
      </c>
    </row>
    <row r="54" spans="1:15" x14ac:dyDescent="0.2">
      <c r="A54" s="84" t="s">
        <v>21</v>
      </c>
      <c r="B54" s="84" t="s">
        <v>72</v>
      </c>
      <c r="C54" s="91">
        <v>3203.4160628426057</v>
      </c>
      <c r="D54" s="92">
        <v>3048.7150456649701</v>
      </c>
      <c r="E54" s="92">
        <v>2707.267800608618</v>
      </c>
      <c r="F54" s="92">
        <v>2646.4924010031186</v>
      </c>
      <c r="G54" s="92">
        <v>3847.6352986609013</v>
      </c>
      <c r="H54" s="92">
        <v>4426.6591058114791</v>
      </c>
      <c r="I54" s="92">
        <v>4674.180733295696</v>
      </c>
      <c r="J54" s="92">
        <v>4586.8851593168874</v>
      </c>
      <c r="K54" s="92">
        <v>4307.3183211315891</v>
      </c>
      <c r="L54" s="92">
        <v>3049.820052930525</v>
      </c>
      <c r="M54" s="92">
        <v>2829.9236070851716</v>
      </c>
      <c r="N54" s="92">
        <v>3480.7728864967949</v>
      </c>
      <c r="O54" s="93">
        <v>42809.086474848358</v>
      </c>
    </row>
    <row r="55" spans="1:15" x14ac:dyDescent="0.2">
      <c r="A55" s="216"/>
      <c r="B55" s="94" t="s">
        <v>25</v>
      </c>
      <c r="C55" s="220">
        <v>197.45680355513878</v>
      </c>
      <c r="D55" s="221">
        <v>187.92111797469033</v>
      </c>
      <c r="E55" s="221">
        <v>166.87449765784413</v>
      </c>
      <c r="F55" s="221">
        <v>163.1283354655252</v>
      </c>
      <c r="G55" s="221">
        <v>237.16612279371975</v>
      </c>
      <c r="H55" s="221">
        <v>272.85683168054038</v>
      </c>
      <c r="I55" s="221">
        <v>288.11392860925753</v>
      </c>
      <c r="J55" s="221">
        <v>282.73307746029059</v>
      </c>
      <c r="K55" s="221">
        <v>265.50073137562276</v>
      </c>
      <c r="L55" s="221">
        <v>187.98923001455114</v>
      </c>
      <c r="M55" s="221">
        <v>174.43493408234235</v>
      </c>
      <c r="N55" s="221">
        <v>214.55292556008544</v>
      </c>
      <c r="O55" s="222">
        <v>2638.7285362296084</v>
      </c>
    </row>
    <row r="56" spans="1:15" x14ac:dyDescent="0.2">
      <c r="A56" s="216"/>
      <c r="B56" s="94" t="s">
        <v>26</v>
      </c>
      <c r="C56" s="220">
        <v>10.78254300955078</v>
      </c>
      <c r="D56" s="221">
        <v>10.261826893187513</v>
      </c>
      <c r="E56" s="221">
        <v>9.1125320363571607</v>
      </c>
      <c r="F56" s="221">
        <v>8.9079649906430198</v>
      </c>
      <c r="G56" s="221">
        <v>12.950953694120667</v>
      </c>
      <c r="H56" s="221">
        <v>14.899919729651749</v>
      </c>
      <c r="I56" s="221">
        <v>15.733065515832976</v>
      </c>
      <c r="J56" s="221">
        <v>15.439232850170844</v>
      </c>
      <c r="K56" s="221">
        <v>14.498224439885801</v>
      </c>
      <c r="L56" s="221">
        <v>10.265546294018678</v>
      </c>
      <c r="M56" s="221">
        <v>9.5253855286166065</v>
      </c>
      <c r="N56" s="221">
        <v>11.716112618173492</v>
      </c>
      <c r="O56" s="222">
        <v>144.0933076002093</v>
      </c>
    </row>
    <row r="57" spans="1:15" x14ac:dyDescent="0.2">
      <c r="A57" s="216"/>
      <c r="B57" s="94" t="s">
        <v>27</v>
      </c>
      <c r="C57" s="220">
        <v>208.23934656468955</v>
      </c>
      <c r="D57" s="221">
        <v>198.18294486787784</v>
      </c>
      <c r="E57" s="221">
        <v>175.98702969420128</v>
      </c>
      <c r="F57" s="221">
        <v>172.03630045616822</v>
      </c>
      <c r="G57" s="221">
        <v>250.11707648784042</v>
      </c>
      <c r="H57" s="221">
        <v>287.75675141019212</v>
      </c>
      <c r="I57" s="221">
        <v>303.84699412509053</v>
      </c>
      <c r="J57" s="221">
        <v>298.17231031046146</v>
      </c>
      <c r="K57" s="221">
        <v>279.99895581550857</v>
      </c>
      <c r="L57" s="221">
        <v>198.25477630856983</v>
      </c>
      <c r="M57" s="221">
        <v>183.96031961095895</v>
      </c>
      <c r="N57" s="221">
        <v>226.26903817825894</v>
      </c>
      <c r="O57" s="222">
        <v>2782.8218438298177</v>
      </c>
    </row>
    <row r="58" spans="1:15" x14ac:dyDescent="0.2">
      <c r="A58" s="216"/>
      <c r="B58" s="94" t="s">
        <v>51</v>
      </c>
      <c r="C58" s="95">
        <v>3005.9592592874669</v>
      </c>
      <c r="D58" s="96">
        <v>2860.7939276902798</v>
      </c>
      <c r="E58" s="96">
        <v>2540.3933029507739</v>
      </c>
      <c r="F58" s="96">
        <v>2483.3640655375934</v>
      </c>
      <c r="G58" s="96">
        <v>3610.4691758671815</v>
      </c>
      <c r="H58" s="96">
        <v>4153.8022741309387</v>
      </c>
      <c r="I58" s="96">
        <v>4386.0668046864384</v>
      </c>
      <c r="J58" s="96">
        <v>4304.1520818565969</v>
      </c>
      <c r="K58" s="96">
        <v>4041.8175897559663</v>
      </c>
      <c r="L58" s="96">
        <v>2861.8308229159738</v>
      </c>
      <c r="M58" s="96">
        <v>2655.4886730028293</v>
      </c>
      <c r="N58" s="96">
        <v>3266.2199609367094</v>
      </c>
      <c r="O58" s="97">
        <v>40170.357938618741</v>
      </c>
    </row>
    <row r="59" spans="1:15" x14ac:dyDescent="0.2">
      <c r="A59" s="216"/>
      <c r="B59" s="94" t="s">
        <v>89</v>
      </c>
      <c r="C59" s="95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7">
        <v>0</v>
      </c>
    </row>
    <row r="60" spans="1:15" x14ac:dyDescent="0.2">
      <c r="A60" s="216"/>
      <c r="B60" s="94" t="s">
        <v>91</v>
      </c>
      <c r="C60" s="95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7">
        <v>0</v>
      </c>
    </row>
    <row r="61" spans="1:15" x14ac:dyDescent="0.2">
      <c r="A61" s="84" t="s">
        <v>22</v>
      </c>
      <c r="B61" s="84" t="s">
        <v>72</v>
      </c>
      <c r="C61" s="91">
        <v>3227.7262226848056</v>
      </c>
      <c r="D61" s="92">
        <v>3152.5857286270971</v>
      </c>
      <c r="E61" s="92">
        <v>2828.8185998196172</v>
      </c>
      <c r="F61" s="92">
        <v>2689.5876843597453</v>
      </c>
      <c r="G61" s="92">
        <v>3444.3076467334949</v>
      </c>
      <c r="H61" s="92">
        <v>3907.3056910008463</v>
      </c>
      <c r="I61" s="92">
        <v>4084.1068534895726</v>
      </c>
      <c r="J61" s="92">
        <v>4013.386388494082</v>
      </c>
      <c r="K61" s="92">
        <v>3687.4092451554934</v>
      </c>
      <c r="L61" s="92">
        <v>2758.0981348241266</v>
      </c>
      <c r="M61" s="92">
        <v>2782.4082946663266</v>
      </c>
      <c r="N61" s="92">
        <v>3755.9196956198748</v>
      </c>
      <c r="O61" s="93">
        <v>40331.660185475077</v>
      </c>
    </row>
    <row r="62" spans="1:15" x14ac:dyDescent="0.2">
      <c r="A62" s="216"/>
      <c r="B62" s="94" t="s">
        <v>25</v>
      </c>
      <c r="C62" s="220">
        <v>198.95526843206653</v>
      </c>
      <c r="D62" s="221">
        <v>194.32364972156302</v>
      </c>
      <c r="E62" s="221">
        <v>174.366822042482</v>
      </c>
      <c r="F62" s="221">
        <v>165.78470502007849</v>
      </c>
      <c r="G62" s="221">
        <v>212.30522824469381</v>
      </c>
      <c r="H62" s="221">
        <v>240.84417294617833</v>
      </c>
      <c r="I62" s="221">
        <v>251.74209932383337</v>
      </c>
      <c r="J62" s="221">
        <v>247.38292877277127</v>
      </c>
      <c r="K62" s="221">
        <v>227.28987701397</v>
      </c>
      <c r="L62" s="221">
        <v>170.00765149141989</v>
      </c>
      <c r="M62" s="221">
        <v>171.50611636834765</v>
      </c>
      <c r="N62" s="221">
        <v>231.5128234853114</v>
      </c>
      <c r="O62" s="222">
        <v>2486.0213428627158</v>
      </c>
    </row>
    <row r="63" spans="1:15" x14ac:dyDescent="0.2">
      <c r="A63" s="216"/>
      <c r="B63" s="94" t="s">
        <v>26</v>
      </c>
      <c r="C63" s="220">
        <v>10.864369827836434</v>
      </c>
      <c r="D63" s="221">
        <v>10.611450571317135</v>
      </c>
      <c r="E63" s="221">
        <v>9.5216661277854406</v>
      </c>
      <c r="F63" s="221">
        <v>9.0530216230585019</v>
      </c>
      <c r="G63" s="221">
        <v>11.593372390745008</v>
      </c>
      <c r="H63" s="221">
        <v>13.151801339003642</v>
      </c>
      <c r="I63" s="221">
        <v>13.746905471990232</v>
      </c>
      <c r="J63" s="221">
        <v>13.508863818795595</v>
      </c>
      <c r="K63" s="221">
        <v>12.411640573601568</v>
      </c>
      <c r="L63" s="221">
        <v>9.2836244745908054</v>
      </c>
      <c r="M63" s="221">
        <v>9.3654512928764611</v>
      </c>
      <c r="N63" s="221">
        <v>12.642243425133872</v>
      </c>
      <c r="O63" s="222">
        <v>135.7544109367347</v>
      </c>
    </row>
    <row r="64" spans="1:15" x14ac:dyDescent="0.2">
      <c r="A64" s="216"/>
      <c r="B64" s="94" t="s">
        <v>27</v>
      </c>
      <c r="C64" s="220">
        <v>209.81963825990297</v>
      </c>
      <c r="D64" s="221">
        <v>204.93510029288015</v>
      </c>
      <c r="E64" s="221">
        <v>183.88848817026744</v>
      </c>
      <c r="F64" s="221">
        <v>174.83772664313699</v>
      </c>
      <c r="G64" s="221">
        <v>223.89860063543881</v>
      </c>
      <c r="H64" s="221">
        <v>253.99597428518197</v>
      </c>
      <c r="I64" s="221">
        <v>265.48900479582358</v>
      </c>
      <c r="J64" s="221">
        <v>260.89179259156685</v>
      </c>
      <c r="K64" s="221">
        <v>239.70151758757157</v>
      </c>
      <c r="L64" s="221">
        <v>179.29127596601069</v>
      </c>
      <c r="M64" s="221">
        <v>180.87156766122411</v>
      </c>
      <c r="N64" s="221">
        <v>244.15506691044527</v>
      </c>
      <c r="O64" s="222">
        <v>2621.7757537994503</v>
      </c>
    </row>
    <row r="65" spans="1:15" x14ac:dyDescent="0.2">
      <c r="A65" s="216"/>
      <c r="B65" s="94" t="s">
        <v>51</v>
      </c>
      <c r="C65" s="95">
        <v>3028.7709542527391</v>
      </c>
      <c r="D65" s="96">
        <v>2958.2620789055341</v>
      </c>
      <c r="E65" s="96">
        <v>2654.4517777771352</v>
      </c>
      <c r="F65" s="96">
        <v>2523.8029793396668</v>
      </c>
      <c r="G65" s="96">
        <v>3232.0024184888011</v>
      </c>
      <c r="H65" s="96">
        <v>3666.461518054668</v>
      </c>
      <c r="I65" s="96">
        <v>3832.3647541657392</v>
      </c>
      <c r="J65" s="96">
        <v>3766.0034597213107</v>
      </c>
      <c r="K65" s="96">
        <v>3460.1193681415234</v>
      </c>
      <c r="L65" s="96">
        <v>2588.0904833327068</v>
      </c>
      <c r="M65" s="96">
        <v>2610.9021782979789</v>
      </c>
      <c r="N65" s="96">
        <v>3524.4068721345634</v>
      </c>
      <c r="O65" s="97">
        <v>37845.638842612367</v>
      </c>
    </row>
    <row r="66" spans="1:15" x14ac:dyDescent="0.2">
      <c r="A66" s="216"/>
      <c r="B66" s="94" t="s">
        <v>89</v>
      </c>
      <c r="C66" s="95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7">
        <v>0</v>
      </c>
    </row>
    <row r="67" spans="1:15" x14ac:dyDescent="0.2">
      <c r="A67" s="216"/>
      <c r="B67" s="94" t="s">
        <v>91</v>
      </c>
      <c r="C67" s="95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7">
        <v>0</v>
      </c>
    </row>
    <row r="68" spans="1:15" x14ac:dyDescent="0.2">
      <c r="A68" s="84" t="s">
        <v>9</v>
      </c>
      <c r="B68" s="84" t="s">
        <v>72</v>
      </c>
      <c r="C68" s="91">
        <v>55.250363277726898</v>
      </c>
      <c r="D68" s="92">
        <v>54.145356012172364</v>
      </c>
      <c r="E68" s="92">
        <v>49.725326949954209</v>
      </c>
      <c r="F68" s="92">
        <v>37.57024702885429</v>
      </c>
      <c r="G68" s="92">
        <v>46.410305153290594</v>
      </c>
      <c r="H68" s="92">
        <v>54.145356012172364</v>
      </c>
      <c r="I68" s="92">
        <v>59.670392339945053</v>
      </c>
      <c r="J68" s="92">
        <v>51.935341481063283</v>
      </c>
      <c r="K68" s="92">
        <v>51.935341481063283</v>
      </c>
      <c r="L68" s="92">
        <v>43.095283356626979</v>
      </c>
      <c r="M68" s="92">
        <v>49.725326949954209</v>
      </c>
      <c r="N68" s="92">
        <v>67.405443198826816</v>
      </c>
      <c r="O68" s="93">
        <v>621.01408324165038</v>
      </c>
    </row>
    <row r="69" spans="1:15" x14ac:dyDescent="0.2">
      <c r="A69" s="216"/>
      <c r="B69" s="94" t="s">
        <v>25</v>
      </c>
      <c r="C69" s="220">
        <v>3.4056019930172212</v>
      </c>
      <c r="D69" s="221">
        <v>3.3374899531568829</v>
      </c>
      <c r="E69" s="221">
        <v>3.0650417937155012</v>
      </c>
      <c r="F69" s="221">
        <v>2.3158093552517087</v>
      </c>
      <c r="G69" s="221">
        <v>2.860705674134465</v>
      </c>
      <c r="H69" s="221">
        <v>3.3374899531568829</v>
      </c>
      <c r="I69" s="221">
        <v>3.67805015245861</v>
      </c>
      <c r="J69" s="221">
        <v>3.2012658734361921</v>
      </c>
      <c r="K69" s="221">
        <v>3.2012658734361921</v>
      </c>
      <c r="L69" s="221">
        <v>2.6563695545534358</v>
      </c>
      <c r="M69" s="221">
        <v>3.0650417937155012</v>
      </c>
      <c r="N69" s="221">
        <v>4.1548344314810137</v>
      </c>
      <c r="O69" s="222">
        <v>38.278966401513607</v>
      </c>
    </row>
    <row r="70" spans="1:15" x14ac:dyDescent="0.2">
      <c r="A70" s="216"/>
      <c r="B70" s="94" t="s">
        <v>26</v>
      </c>
      <c r="C70" s="220">
        <v>0.1859700415583094</v>
      </c>
      <c r="D70" s="221">
        <v>0.18225064072714323</v>
      </c>
      <c r="E70" s="221">
        <v>0.16737303740247847</v>
      </c>
      <c r="F70" s="221">
        <v>0.1264596282596504</v>
      </c>
      <c r="G70" s="221">
        <v>0.15621483490897989</v>
      </c>
      <c r="H70" s="221">
        <v>0.18225064072714323</v>
      </c>
      <c r="I70" s="221">
        <v>0.20084764488297416</v>
      </c>
      <c r="J70" s="221">
        <v>0.17481183906481085</v>
      </c>
      <c r="K70" s="221">
        <v>0.17481183906481085</v>
      </c>
      <c r="L70" s="221">
        <v>0.14505663241548133</v>
      </c>
      <c r="M70" s="221">
        <v>0.16737303740247847</v>
      </c>
      <c r="N70" s="221">
        <v>0.22688345070113747</v>
      </c>
      <c r="O70" s="222">
        <v>2.0903032671153978</v>
      </c>
    </row>
    <row r="71" spans="1:15" x14ac:dyDescent="0.2">
      <c r="A71" s="216"/>
      <c r="B71" s="94" t="s">
        <v>27</v>
      </c>
      <c r="C71" s="220">
        <v>3.5915720345755306</v>
      </c>
      <c r="D71" s="221">
        <v>3.519740593884026</v>
      </c>
      <c r="E71" s="221">
        <v>3.2324148311179797</v>
      </c>
      <c r="F71" s="221">
        <v>2.4422689835113589</v>
      </c>
      <c r="G71" s="221">
        <v>3.016920509043445</v>
      </c>
      <c r="H71" s="221">
        <v>3.519740593884026</v>
      </c>
      <c r="I71" s="221">
        <v>3.8788977973415841</v>
      </c>
      <c r="J71" s="221">
        <v>3.3760777125010031</v>
      </c>
      <c r="K71" s="221">
        <v>3.3760777125010031</v>
      </c>
      <c r="L71" s="221">
        <v>2.801426186968917</v>
      </c>
      <c r="M71" s="221">
        <v>3.2324148311179797</v>
      </c>
      <c r="N71" s="221">
        <v>4.3817178821821514</v>
      </c>
      <c r="O71" s="222">
        <v>40.369269668629002</v>
      </c>
    </row>
    <row r="72" spans="1:15" x14ac:dyDescent="0.2">
      <c r="A72" s="216"/>
      <c r="B72" s="94" t="s">
        <v>51</v>
      </c>
      <c r="C72" s="95">
        <v>51.844761284709676</v>
      </c>
      <c r="D72" s="96">
        <v>50.807866059015481</v>
      </c>
      <c r="E72" s="96">
        <v>46.660285156238707</v>
      </c>
      <c r="F72" s="96">
        <v>35.254437673602581</v>
      </c>
      <c r="G72" s="96">
        <v>43.549599479156129</v>
      </c>
      <c r="H72" s="96">
        <v>50.807866059015481</v>
      </c>
      <c r="I72" s="96">
        <v>55.992342187486443</v>
      </c>
      <c r="J72" s="96">
        <v>48.734075607627091</v>
      </c>
      <c r="K72" s="96">
        <v>48.734075607627091</v>
      </c>
      <c r="L72" s="96">
        <v>40.438913802073543</v>
      </c>
      <c r="M72" s="96">
        <v>46.660285156238707</v>
      </c>
      <c r="N72" s="96">
        <v>63.250608767345803</v>
      </c>
      <c r="O72" s="97">
        <v>582.73511684013681</v>
      </c>
    </row>
    <row r="73" spans="1:15" x14ac:dyDescent="0.2">
      <c r="A73" s="216"/>
      <c r="B73" s="94" t="s">
        <v>89</v>
      </c>
      <c r="C73" s="95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7">
        <v>0</v>
      </c>
    </row>
    <row r="74" spans="1:15" x14ac:dyDescent="0.2">
      <c r="A74" s="216"/>
      <c r="B74" s="94" t="s">
        <v>91</v>
      </c>
      <c r="C74" s="95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7">
        <v>0</v>
      </c>
    </row>
    <row r="75" spans="1:15" x14ac:dyDescent="0.2">
      <c r="A75" s="84" t="s">
        <v>56</v>
      </c>
      <c r="B75" s="84" t="s">
        <v>72</v>
      </c>
      <c r="C75" s="91">
        <v>133.70587913209908</v>
      </c>
      <c r="D75" s="92">
        <v>120.44579194544464</v>
      </c>
      <c r="E75" s="92">
        <v>104.97569022768111</v>
      </c>
      <c r="F75" s="92">
        <v>102.76567569657203</v>
      </c>
      <c r="G75" s="92">
        <v>138.12590819431725</v>
      </c>
      <c r="H75" s="92">
        <v>175.69615522317153</v>
      </c>
      <c r="I75" s="92">
        <v>194.4812787375987</v>
      </c>
      <c r="J75" s="92">
        <v>184.53621334760786</v>
      </c>
      <c r="K75" s="92">
        <v>169.0661116298443</v>
      </c>
      <c r="L75" s="92">
        <v>114.92075561767194</v>
      </c>
      <c r="M75" s="92">
        <v>114.92075561767194</v>
      </c>
      <c r="N75" s="92">
        <v>153.59600991208077</v>
      </c>
      <c r="O75" s="93">
        <v>1707.2362252817611</v>
      </c>
    </row>
    <row r="76" spans="1:15" x14ac:dyDescent="0.2">
      <c r="A76" s="216"/>
      <c r="B76" s="94" t="s">
        <v>25</v>
      </c>
      <c r="C76" s="95">
        <v>8.2415568231016749</v>
      </c>
      <c r="D76" s="96">
        <v>7.4242123447775583</v>
      </c>
      <c r="E76" s="96">
        <v>6.4706437867327367</v>
      </c>
      <c r="F76" s="96">
        <v>6.3344197070120458</v>
      </c>
      <c r="G76" s="96">
        <v>8.5140049825430708</v>
      </c>
      <c r="H76" s="96">
        <v>10.829814337794772</v>
      </c>
      <c r="I76" s="96">
        <v>11.987719015420652</v>
      </c>
      <c r="J76" s="96">
        <v>11.374710656677536</v>
      </c>
      <c r="K76" s="96">
        <v>10.421142098632714</v>
      </c>
      <c r="L76" s="96">
        <v>7.0836521454758241</v>
      </c>
      <c r="M76" s="96">
        <v>7.0836521454758241</v>
      </c>
      <c r="N76" s="96">
        <v>9.4675735405878925</v>
      </c>
      <c r="O76" s="97">
        <v>105.2331015842323</v>
      </c>
    </row>
    <row r="77" spans="1:15" x14ac:dyDescent="0.2">
      <c r="A77" s="216"/>
      <c r="B77" s="94" t="s">
        <v>26</v>
      </c>
      <c r="C77" s="95">
        <v>0.45004750057110876</v>
      </c>
      <c r="D77" s="96">
        <v>0.40541469059711449</v>
      </c>
      <c r="E77" s="96">
        <v>0.35334307896078787</v>
      </c>
      <c r="F77" s="96">
        <v>0.34590427729845546</v>
      </c>
      <c r="G77" s="96">
        <v>0.46492510389577346</v>
      </c>
      <c r="H77" s="96">
        <v>0.59138473215542398</v>
      </c>
      <c r="I77" s="96">
        <v>0.65461454628524907</v>
      </c>
      <c r="J77" s="96">
        <v>0.62113993880475338</v>
      </c>
      <c r="K77" s="96">
        <v>0.5690683271684267</v>
      </c>
      <c r="L77" s="96">
        <v>0.3868176864412835</v>
      </c>
      <c r="M77" s="96">
        <v>0.3868176864412835</v>
      </c>
      <c r="N77" s="96">
        <v>0.51699671553210014</v>
      </c>
      <c r="O77" s="97">
        <v>5.7464742841517591</v>
      </c>
    </row>
    <row r="78" spans="1:15" x14ac:dyDescent="0.2">
      <c r="A78" s="216"/>
      <c r="B78" s="94" t="s">
        <v>27</v>
      </c>
      <c r="C78" s="95">
        <v>8.6916043236727845</v>
      </c>
      <c r="D78" s="96">
        <v>7.8296270353746724</v>
      </c>
      <c r="E78" s="96">
        <v>6.8239868656935245</v>
      </c>
      <c r="F78" s="96">
        <v>6.6803239843105011</v>
      </c>
      <c r="G78" s="96">
        <v>8.9789300864388437</v>
      </c>
      <c r="H78" s="96">
        <v>11.421199069950196</v>
      </c>
      <c r="I78" s="96">
        <v>12.6423335617059</v>
      </c>
      <c r="J78" s="96">
        <v>11.995850595482288</v>
      </c>
      <c r="K78" s="96">
        <v>10.990210425801141</v>
      </c>
      <c r="L78" s="96">
        <v>7.4704698319171072</v>
      </c>
      <c r="M78" s="96">
        <v>7.4704698319171072</v>
      </c>
      <c r="N78" s="96">
        <v>9.9845702561199925</v>
      </c>
      <c r="O78" s="97">
        <v>110.97957586838406</v>
      </c>
    </row>
    <row r="79" spans="1:15" x14ac:dyDescent="0.2">
      <c r="A79" s="216"/>
      <c r="B79" s="94" t="s">
        <v>51</v>
      </c>
      <c r="C79" s="95">
        <v>125.46432230899741</v>
      </c>
      <c r="D79" s="96">
        <v>113.02157960066708</v>
      </c>
      <c r="E79" s="96">
        <v>98.505046440948377</v>
      </c>
      <c r="F79" s="96">
        <v>96.431255989559986</v>
      </c>
      <c r="G79" s="96">
        <v>129.61190321177418</v>
      </c>
      <c r="H79" s="96">
        <v>164.86634088537676</v>
      </c>
      <c r="I79" s="96">
        <v>182.49355972217805</v>
      </c>
      <c r="J79" s="96">
        <v>173.16150269093032</v>
      </c>
      <c r="K79" s="96">
        <v>158.64496953121159</v>
      </c>
      <c r="L79" s="96">
        <v>107.83710347219612</v>
      </c>
      <c r="M79" s="96">
        <v>107.83710347219612</v>
      </c>
      <c r="N79" s="96">
        <v>144.12843637149288</v>
      </c>
      <c r="O79" s="97">
        <v>1602.003123697529</v>
      </c>
    </row>
    <row r="80" spans="1:15" x14ac:dyDescent="0.2">
      <c r="A80" s="216"/>
      <c r="B80" s="94" t="s">
        <v>89</v>
      </c>
      <c r="C80" s="95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7">
        <v>0</v>
      </c>
    </row>
    <row r="81" spans="1:15" x14ac:dyDescent="0.2">
      <c r="A81" s="216"/>
      <c r="B81" s="94" t="s">
        <v>91</v>
      </c>
      <c r="C81" s="95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7">
        <v>0</v>
      </c>
    </row>
    <row r="82" spans="1:15" x14ac:dyDescent="0.2">
      <c r="A82" s="84" t="s">
        <v>57</v>
      </c>
      <c r="B82" s="84" t="s">
        <v>72</v>
      </c>
      <c r="C82" s="91">
        <v>8.8400581244363039</v>
      </c>
      <c r="D82" s="92">
        <v>12.155079921099919</v>
      </c>
      <c r="E82" s="92">
        <v>9.945065389990841</v>
      </c>
      <c r="F82" s="92">
        <v>12.155079921099919</v>
      </c>
      <c r="G82" s="92">
        <v>12.155079921099919</v>
      </c>
      <c r="H82" s="92">
        <v>15.470101717763532</v>
      </c>
      <c r="I82" s="92">
        <v>14.365094452208993</v>
      </c>
      <c r="J82" s="92">
        <v>14.365094452208993</v>
      </c>
      <c r="K82" s="92">
        <v>14.365094452208993</v>
      </c>
      <c r="L82" s="92">
        <v>11.05007265554538</v>
      </c>
      <c r="M82" s="92">
        <v>9.945065389990841</v>
      </c>
      <c r="N82" s="92">
        <v>9.945065389990841</v>
      </c>
      <c r="O82" s="93">
        <v>144.75595178764448</v>
      </c>
    </row>
    <row r="83" spans="1:15" x14ac:dyDescent="0.2">
      <c r="A83" s="216"/>
      <c r="B83" s="94" t="s">
        <v>25</v>
      </c>
      <c r="C83" s="95">
        <v>0.54489631888275625</v>
      </c>
      <c r="D83" s="96">
        <v>0.74923243846379073</v>
      </c>
      <c r="E83" s="96">
        <v>0.61300835874309989</v>
      </c>
      <c r="F83" s="96">
        <v>0.74923243846379073</v>
      </c>
      <c r="G83" s="96">
        <v>0.74923243846379073</v>
      </c>
      <c r="H83" s="96">
        <v>0.95356855804482343</v>
      </c>
      <c r="I83" s="96">
        <v>0.88545651818447801</v>
      </c>
      <c r="J83" s="96">
        <v>0.88545651818447801</v>
      </c>
      <c r="K83" s="96">
        <v>0.88545651818447801</v>
      </c>
      <c r="L83" s="96">
        <v>0.68112039860344531</v>
      </c>
      <c r="M83" s="96">
        <v>0.61300835874309989</v>
      </c>
      <c r="N83" s="96">
        <v>0.61300835874309989</v>
      </c>
      <c r="O83" s="97">
        <v>8.9226772217051309</v>
      </c>
    </row>
    <row r="84" spans="1:15" x14ac:dyDescent="0.2">
      <c r="A84" s="216"/>
      <c r="B84" s="94" t="s">
        <v>26</v>
      </c>
      <c r="C84" s="95">
        <v>2.9755206649329506E-2</v>
      </c>
      <c r="D84" s="96">
        <v>4.0913409142828067E-2</v>
      </c>
      <c r="E84" s="96">
        <v>3.3474607480495695E-2</v>
      </c>
      <c r="F84" s="96">
        <v>4.0913409142828067E-2</v>
      </c>
      <c r="G84" s="96">
        <v>4.0913409142828067E-2</v>
      </c>
      <c r="H84" s="96">
        <v>5.2071611636326627E-2</v>
      </c>
      <c r="I84" s="96">
        <v>4.8352210805160438E-2</v>
      </c>
      <c r="J84" s="96">
        <v>4.8352210805160438E-2</v>
      </c>
      <c r="K84" s="96">
        <v>4.8352210805160438E-2</v>
      </c>
      <c r="L84" s="96">
        <v>3.7194008311661877E-2</v>
      </c>
      <c r="M84" s="96">
        <v>3.3474607480495695E-2</v>
      </c>
      <c r="N84" s="96">
        <v>3.3474607480495695E-2</v>
      </c>
      <c r="O84" s="97">
        <v>0.48724150888277057</v>
      </c>
    </row>
    <row r="85" spans="1:15" x14ac:dyDescent="0.2">
      <c r="A85" s="216"/>
      <c r="B85" s="94" t="s">
        <v>27</v>
      </c>
      <c r="C85" s="95">
        <v>0.57465152553208576</v>
      </c>
      <c r="D85" s="96">
        <v>0.79014584760661877</v>
      </c>
      <c r="E85" s="96">
        <v>0.64648296622359558</v>
      </c>
      <c r="F85" s="96">
        <v>0.79014584760661877</v>
      </c>
      <c r="G85" s="96">
        <v>0.79014584760661877</v>
      </c>
      <c r="H85" s="96">
        <v>1.0056401696811501</v>
      </c>
      <c r="I85" s="96">
        <v>0.9338087289896384</v>
      </c>
      <c r="J85" s="96">
        <v>0.9338087289896384</v>
      </c>
      <c r="K85" s="96">
        <v>0.9338087289896384</v>
      </c>
      <c r="L85" s="96">
        <v>0.71831440691510717</v>
      </c>
      <c r="M85" s="96">
        <v>0.64648296622359558</v>
      </c>
      <c r="N85" s="96">
        <v>0.64648296622359558</v>
      </c>
      <c r="O85" s="97">
        <v>9.4099187305879006</v>
      </c>
    </row>
    <row r="86" spans="1:15" x14ac:dyDescent="0.2">
      <c r="A86" s="216"/>
      <c r="B86" s="94" t="s">
        <v>51</v>
      </c>
      <c r="C86" s="95">
        <v>8.2951618055535477</v>
      </c>
      <c r="D86" s="96">
        <v>11.405847482636128</v>
      </c>
      <c r="E86" s="96">
        <v>9.3320570312477411</v>
      </c>
      <c r="F86" s="96">
        <v>11.405847482636128</v>
      </c>
      <c r="G86" s="96">
        <v>11.405847482636128</v>
      </c>
      <c r="H86" s="96">
        <v>14.516533159718708</v>
      </c>
      <c r="I86" s="96">
        <v>13.479637934024515</v>
      </c>
      <c r="J86" s="96">
        <v>13.479637934024515</v>
      </c>
      <c r="K86" s="96">
        <v>13.479637934024515</v>
      </c>
      <c r="L86" s="96">
        <v>10.368952256941935</v>
      </c>
      <c r="M86" s="96">
        <v>9.3320570312477411</v>
      </c>
      <c r="N86" s="96">
        <v>9.3320570312477411</v>
      </c>
      <c r="O86" s="97">
        <v>135.83327456593932</v>
      </c>
    </row>
    <row r="87" spans="1:15" x14ac:dyDescent="0.2">
      <c r="A87" s="216"/>
      <c r="B87" s="94" t="s">
        <v>89</v>
      </c>
      <c r="C87" s="95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97">
        <v>0</v>
      </c>
    </row>
    <row r="88" spans="1:15" x14ac:dyDescent="0.2">
      <c r="A88" s="216"/>
      <c r="B88" s="94" t="s">
        <v>91</v>
      </c>
      <c r="C88" s="95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7">
        <v>0</v>
      </c>
    </row>
    <row r="89" spans="1:15" x14ac:dyDescent="0.2">
      <c r="A89" s="84" t="s">
        <v>58</v>
      </c>
      <c r="B89" s="84" t="s">
        <v>72</v>
      </c>
      <c r="C89" s="91">
        <v>24.310159842199837</v>
      </c>
      <c r="D89" s="92">
        <v>24.310159842199837</v>
      </c>
      <c r="E89" s="92">
        <v>19.890130779981682</v>
      </c>
      <c r="F89" s="92">
        <v>23.205152576645297</v>
      </c>
      <c r="G89" s="92">
        <v>34.255225232190675</v>
      </c>
      <c r="H89" s="92">
        <v>41.990276091072445</v>
      </c>
      <c r="I89" s="92">
        <v>44.200290622181519</v>
      </c>
      <c r="J89" s="92">
        <v>41.990276091072445</v>
      </c>
      <c r="K89" s="92">
        <v>38.67525429440883</v>
      </c>
      <c r="L89" s="92">
        <v>25.415167107754375</v>
      </c>
      <c r="M89" s="92">
        <v>19.890130779981682</v>
      </c>
      <c r="N89" s="92">
        <v>29.835196169972527</v>
      </c>
      <c r="O89" s="93">
        <v>367.96741942966116</v>
      </c>
    </row>
    <row r="90" spans="1:15" x14ac:dyDescent="0.2">
      <c r="A90" s="216"/>
      <c r="B90" s="94" t="s">
        <v>25</v>
      </c>
      <c r="C90" s="95">
        <v>1.4984648769275815</v>
      </c>
      <c r="D90" s="96">
        <v>1.4984648769275815</v>
      </c>
      <c r="E90" s="96">
        <v>1.2260167174861998</v>
      </c>
      <c r="F90" s="96">
        <v>1.4303528370672325</v>
      </c>
      <c r="G90" s="96">
        <v>2.1114732356706796</v>
      </c>
      <c r="H90" s="96">
        <v>2.5882575146930975</v>
      </c>
      <c r="I90" s="96">
        <v>2.7244815944137812</v>
      </c>
      <c r="J90" s="96">
        <v>2.5882575146930975</v>
      </c>
      <c r="K90" s="96">
        <v>2.3839213951120612</v>
      </c>
      <c r="L90" s="96">
        <v>1.5665769167879269</v>
      </c>
      <c r="M90" s="96">
        <v>1.2260167174861998</v>
      </c>
      <c r="N90" s="96">
        <v>1.839025076229305</v>
      </c>
      <c r="O90" s="97">
        <v>22.681309273494744</v>
      </c>
    </row>
    <row r="91" spans="1:15" x14ac:dyDescent="0.2">
      <c r="A91" s="216"/>
      <c r="B91" s="94" t="s">
        <v>26</v>
      </c>
      <c r="C91" s="95">
        <v>8.1826818285656133E-2</v>
      </c>
      <c r="D91" s="96">
        <v>8.1826818285656133E-2</v>
      </c>
      <c r="E91" s="96">
        <v>6.6949214960991391E-2</v>
      </c>
      <c r="F91" s="96">
        <v>7.8107417454489944E-2</v>
      </c>
      <c r="G91" s="96">
        <v>0.11530142576615182</v>
      </c>
      <c r="H91" s="96">
        <v>0.14133723158431516</v>
      </c>
      <c r="I91" s="96">
        <v>0.14877603324664751</v>
      </c>
      <c r="J91" s="96">
        <v>0.14133723158431516</v>
      </c>
      <c r="K91" s="96">
        <v>0.13017902909081658</v>
      </c>
      <c r="L91" s="96">
        <v>8.5546219116822322E-2</v>
      </c>
      <c r="M91" s="96">
        <v>6.6949214960991391E-2</v>
      </c>
      <c r="N91" s="96">
        <v>0.10042382244148708</v>
      </c>
      <c r="O91" s="97">
        <v>1.2385604767783405</v>
      </c>
    </row>
    <row r="92" spans="1:15" x14ac:dyDescent="0.2">
      <c r="A92" s="216"/>
      <c r="B92" s="94" t="s">
        <v>27</v>
      </c>
      <c r="C92" s="95">
        <v>1.5802916952132375</v>
      </c>
      <c r="D92" s="96">
        <v>1.5802916952132375</v>
      </c>
      <c r="E92" s="96">
        <v>1.2929659324471912</v>
      </c>
      <c r="F92" s="96">
        <v>1.5084602545217225</v>
      </c>
      <c r="G92" s="96">
        <v>2.2267746614368313</v>
      </c>
      <c r="H92" s="96">
        <v>2.7295947462774128</v>
      </c>
      <c r="I92" s="96">
        <v>2.8732576276604287</v>
      </c>
      <c r="J92" s="96">
        <v>2.7295947462774128</v>
      </c>
      <c r="K92" s="96">
        <v>2.5141004242028777</v>
      </c>
      <c r="L92" s="96">
        <v>1.6521231359047492</v>
      </c>
      <c r="M92" s="96">
        <v>1.2929659324471912</v>
      </c>
      <c r="N92" s="96">
        <v>1.9394488986707921</v>
      </c>
      <c r="O92" s="97">
        <v>23.919869750273087</v>
      </c>
    </row>
    <row r="93" spans="1:15" x14ac:dyDescent="0.2">
      <c r="A93" s="216"/>
      <c r="B93" s="94" t="s">
        <v>51</v>
      </c>
      <c r="C93" s="95">
        <v>22.811694965272256</v>
      </c>
      <c r="D93" s="96">
        <v>22.811694965272256</v>
      </c>
      <c r="E93" s="96">
        <v>18.664114062495482</v>
      </c>
      <c r="F93" s="96">
        <v>21.774799739578064</v>
      </c>
      <c r="G93" s="96">
        <v>32.143751996519995</v>
      </c>
      <c r="H93" s="96">
        <v>39.402018576379348</v>
      </c>
      <c r="I93" s="96">
        <v>41.475809027767738</v>
      </c>
      <c r="J93" s="96">
        <v>39.402018576379348</v>
      </c>
      <c r="K93" s="96">
        <v>36.291332899296769</v>
      </c>
      <c r="L93" s="96">
        <v>23.848590190966448</v>
      </c>
      <c r="M93" s="96">
        <v>18.664114062495482</v>
      </c>
      <c r="N93" s="96">
        <v>27.996171093743222</v>
      </c>
      <c r="O93" s="97">
        <v>345.28611015616639</v>
      </c>
    </row>
    <row r="94" spans="1:15" x14ac:dyDescent="0.2">
      <c r="A94" s="216"/>
      <c r="B94" s="94" t="s">
        <v>89</v>
      </c>
      <c r="C94" s="95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97">
        <v>0</v>
      </c>
    </row>
    <row r="95" spans="1:15" x14ac:dyDescent="0.2">
      <c r="A95" s="216"/>
      <c r="B95" s="94" t="s">
        <v>91</v>
      </c>
      <c r="C95" s="95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97">
        <v>0</v>
      </c>
    </row>
    <row r="96" spans="1:15" x14ac:dyDescent="0.2">
      <c r="A96" s="84" t="s">
        <v>59</v>
      </c>
      <c r="B96" s="84" t="s">
        <v>72</v>
      </c>
      <c r="C96" s="91">
        <v>40.885268825517905</v>
      </c>
      <c r="D96" s="92">
        <v>40.885268825517905</v>
      </c>
      <c r="E96" s="92">
        <v>27.625181638863449</v>
      </c>
      <c r="F96" s="92">
        <v>34.255225232190675</v>
      </c>
      <c r="G96" s="92">
        <v>44.200290622181519</v>
      </c>
      <c r="H96" s="92">
        <v>53.040348746617823</v>
      </c>
      <c r="I96" s="92">
        <v>57.460377808835972</v>
      </c>
      <c r="J96" s="92">
        <v>55.250363277726898</v>
      </c>
      <c r="K96" s="92">
        <v>51.935341481063283</v>
      </c>
      <c r="L96" s="92">
        <v>38.67525429440883</v>
      </c>
      <c r="M96" s="92">
        <v>37.57024702885429</v>
      </c>
      <c r="N96" s="92">
        <v>37.57024702885429</v>
      </c>
      <c r="O96" s="93">
        <v>519.35341481063278</v>
      </c>
    </row>
    <row r="97" spans="1:15" x14ac:dyDescent="0.2">
      <c r="A97" s="216"/>
      <c r="B97" s="94" t="s">
        <v>25</v>
      </c>
      <c r="C97" s="95">
        <v>2.520145474832745</v>
      </c>
      <c r="D97" s="96">
        <v>2.520145474832745</v>
      </c>
      <c r="E97" s="96">
        <v>1.7028009965086106</v>
      </c>
      <c r="F97" s="96">
        <v>2.1114732356706796</v>
      </c>
      <c r="G97" s="96">
        <v>2.7244815944137812</v>
      </c>
      <c r="H97" s="96">
        <v>3.2693779132965375</v>
      </c>
      <c r="I97" s="96">
        <v>3.5418260727379121</v>
      </c>
      <c r="J97" s="96">
        <v>3.4056019930172212</v>
      </c>
      <c r="K97" s="96">
        <v>3.2012658734361921</v>
      </c>
      <c r="L97" s="96">
        <v>2.3839213951120612</v>
      </c>
      <c r="M97" s="96">
        <v>2.3158093552517087</v>
      </c>
      <c r="N97" s="96">
        <v>2.3158093552517087</v>
      </c>
      <c r="O97" s="97">
        <v>32.012658734361906</v>
      </c>
    </row>
    <row r="98" spans="1:15" x14ac:dyDescent="0.2">
      <c r="A98" s="216"/>
      <c r="B98" s="94" t="s">
        <v>26</v>
      </c>
      <c r="C98" s="95">
        <v>0.13761783075314896</v>
      </c>
      <c r="D98" s="96">
        <v>0.13761783075314896</v>
      </c>
      <c r="E98" s="96">
        <v>9.2985020779154701E-2</v>
      </c>
      <c r="F98" s="96">
        <v>0.11530142576615182</v>
      </c>
      <c r="G98" s="96">
        <v>0.14877603324664751</v>
      </c>
      <c r="H98" s="96">
        <v>0.17853123989597702</v>
      </c>
      <c r="I98" s="96">
        <v>0.19340884322064175</v>
      </c>
      <c r="J98" s="96">
        <v>0.1859700415583094</v>
      </c>
      <c r="K98" s="96">
        <v>0.17481183906481085</v>
      </c>
      <c r="L98" s="96">
        <v>0.13017902909081658</v>
      </c>
      <c r="M98" s="96">
        <v>0.1264596282596504</v>
      </c>
      <c r="N98" s="96">
        <v>0.1264596282596504</v>
      </c>
      <c r="O98" s="97">
        <v>1.7481183906481084</v>
      </c>
    </row>
    <row r="99" spans="1:15" x14ac:dyDescent="0.2">
      <c r="A99" s="216"/>
      <c r="B99" s="94" t="s">
        <v>27</v>
      </c>
      <c r="C99" s="95">
        <v>2.657763305585894</v>
      </c>
      <c r="D99" s="96">
        <v>2.657763305585894</v>
      </c>
      <c r="E99" s="96">
        <v>1.7957860172877653</v>
      </c>
      <c r="F99" s="96">
        <v>2.2267746614368313</v>
      </c>
      <c r="G99" s="96">
        <v>2.8732576276604287</v>
      </c>
      <c r="H99" s="96">
        <v>3.4479091531925143</v>
      </c>
      <c r="I99" s="96">
        <v>3.7352349159585536</v>
      </c>
      <c r="J99" s="96">
        <v>3.5915720345755306</v>
      </c>
      <c r="K99" s="96">
        <v>3.3760777125010031</v>
      </c>
      <c r="L99" s="96">
        <v>2.5141004242028777</v>
      </c>
      <c r="M99" s="96">
        <v>2.4422689835113589</v>
      </c>
      <c r="N99" s="96">
        <v>2.4422689835113589</v>
      </c>
      <c r="O99" s="97">
        <v>33.760777125010016</v>
      </c>
    </row>
    <row r="100" spans="1:15" x14ac:dyDescent="0.2">
      <c r="A100" s="216"/>
      <c r="B100" s="94" t="s">
        <v>51</v>
      </c>
      <c r="C100" s="95">
        <v>38.36512335068516</v>
      </c>
      <c r="D100" s="96">
        <v>38.36512335068516</v>
      </c>
      <c r="E100" s="96">
        <v>25.922380642354838</v>
      </c>
      <c r="F100" s="96">
        <v>32.143751996519995</v>
      </c>
      <c r="G100" s="96">
        <v>41.475809027767738</v>
      </c>
      <c r="H100" s="96">
        <v>49.770970833321286</v>
      </c>
      <c r="I100" s="96">
        <v>53.91855173609806</v>
      </c>
      <c r="J100" s="96">
        <v>51.844761284709676</v>
      </c>
      <c r="K100" s="96">
        <v>48.734075607627091</v>
      </c>
      <c r="L100" s="96">
        <v>36.291332899296769</v>
      </c>
      <c r="M100" s="96">
        <v>35.254437673602581</v>
      </c>
      <c r="N100" s="96">
        <v>35.254437673602581</v>
      </c>
      <c r="O100" s="97">
        <v>487.34075607627096</v>
      </c>
    </row>
    <row r="101" spans="1:15" x14ac:dyDescent="0.2">
      <c r="A101" s="216"/>
      <c r="B101" s="94" t="s">
        <v>89</v>
      </c>
      <c r="C101" s="95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97">
        <v>0</v>
      </c>
    </row>
    <row r="102" spans="1:15" x14ac:dyDescent="0.2">
      <c r="A102" s="216"/>
      <c r="B102" s="94" t="s">
        <v>91</v>
      </c>
      <c r="C102" s="95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97">
        <v>0</v>
      </c>
    </row>
    <row r="103" spans="1:15" x14ac:dyDescent="0.2">
      <c r="A103" s="84" t="s">
        <v>83</v>
      </c>
      <c r="B103" s="84" t="s">
        <v>72</v>
      </c>
      <c r="C103" s="91">
        <v>180.11618428538969</v>
      </c>
      <c r="D103" s="92">
        <v>171.2761261609534</v>
      </c>
      <c r="E103" s="92">
        <v>155.80602444318987</v>
      </c>
      <c r="F103" s="92">
        <v>101.6606684310175</v>
      </c>
      <c r="G103" s="92">
        <v>144.75595178764448</v>
      </c>
      <c r="H103" s="92">
        <v>167.96110436428978</v>
      </c>
      <c r="I103" s="92">
        <v>164.64608256762617</v>
      </c>
      <c r="J103" s="92">
        <v>151.38599538097171</v>
      </c>
      <c r="K103" s="92">
        <v>150.28098811541716</v>
      </c>
      <c r="L103" s="92">
        <v>100.55566116546295</v>
      </c>
      <c r="M103" s="92">
        <v>124.86582100766279</v>
      </c>
      <c r="N103" s="92">
        <v>232.05152576645298</v>
      </c>
      <c r="O103" s="93">
        <v>1845.3621334760783</v>
      </c>
    </row>
    <row r="104" spans="1:15" x14ac:dyDescent="0.2">
      <c r="A104" s="216"/>
      <c r="B104" s="94" t="s">
        <v>25</v>
      </c>
      <c r="C104" s="95">
        <v>11.102262497236154</v>
      </c>
      <c r="D104" s="96">
        <v>10.557366178353419</v>
      </c>
      <c r="E104" s="96">
        <v>9.6037976203085975</v>
      </c>
      <c r="F104" s="96">
        <v>6.2663076671517075</v>
      </c>
      <c r="G104" s="96">
        <v>8.9226772217051291</v>
      </c>
      <c r="H104" s="96">
        <v>10.35303005877239</v>
      </c>
      <c r="I104" s="96">
        <v>10.148693939191332</v>
      </c>
      <c r="J104" s="96">
        <v>9.3313494608672158</v>
      </c>
      <c r="K104" s="96">
        <v>9.2632374210068349</v>
      </c>
      <c r="L104" s="96">
        <v>6.1981956272913408</v>
      </c>
      <c r="M104" s="96">
        <v>7.6966605042189258</v>
      </c>
      <c r="N104" s="96">
        <v>14.303528370672353</v>
      </c>
      <c r="O104" s="97">
        <v>113.7471065667754</v>
      </c>
    </row>
    <row r="105" spans="1:15" x14ac:dyDescent="0.2">
      <c r="A105" s="216"/>
      <c r="B105" s="94" t="s">
        <v>26</v>
      </c>
      <c r="C105" s="95">
        <v>0.60626233548008868</v>
      </c>
      <c r="D105" s="96">
        <v>0.57650712883075916</v>
      </c>
      <c r="E105" s="96">
        <v>0.52443551719443249</v>
      </c>
      <c r="F105" s="96">
        <v>0.34218487646728929</v>
      </c>
      <c r="G105" s="96">
        <v>0.48724150888277062</v>
      </c>
      <c r="H105" s="96">
        <v>0.56534892633726064</v>
      </c>
      <c r="I105" s="96">
        <v>0.554190723843762</v>
      </c>
      <c r="J105" s="96">
        <v>0.50955791386976779</v>
      </c>
      <c r="K105" s="96">
        <v>0.50583851303860161</v>
      </c>
      <c r="L105" s="96">
        <v>0.33846547563612306</v>
      </c>
      <c r="M105" s="96">
        <v>0.42029229392177925</v>
      </c>
      <c r="N105" s="96">
        <v>0.78107417454489958</v>
      </c>
      <c r="O105" s="97">
        <v>6.2113993880475338</v>
      </c>
    </row>
    <row r="106" spans="1:15" x14ac:dyDescent="0.2">
      <c r="A106" s="216"/>
      <c r="B106" s="94" t="s">
        <v>27</v>
      </c>
      <c r="C106" s="95">
        <v>11.708524832716243</v>
      </c>
      <c r="D106" s="96">
        <v>11.133873307184178</v>
      </c>
      <c r="E106" s="96">
        <v>10.128233137503029</v>
      </c>
      <c r="F106" s="96">
        <v>6.608492543618997</v>
      </c>
      <c r="G106" s="96">
        <v>9.4099187305879006</v>
      </c>
      <c r="H106" s="96">
        <v>10.918378985109651</v>
      </c>
      <c r="I106" s="96">
        <v>10.702884663035094</v>
      </c>
      <c r="J106" s="96">
        <v>9.8409073747369842</v>
      </c>
      <c r="K106" s="96">
        <v>9.7690759340454356</v>
      </c>
      <c r="L106" s="96">
        <v>6.5366611029274635</v>
      </c>
      <c r="M106" s="96">
        <v>8.116952798140705</v>
      </c>
      <c r="N106" s="96">
        <v>15.084602545217253</v>
      </c>
      <c r="O106" s="97">
        <v>119.95850595482294</v>
      </c>
    </row>
    <row r="107" spans="1:15" x14ac:dyDescent="0.2">
      <c r="A107" s="216"/>
      <c r="B107" s="94" t="s">
        <v>51</v>
      </c>
      <c r="C107" s="95">
        <v>169.01392178815354</v>
      </c>
      <c r="D107" s="96">
        <v>160.71875998259998</v>
      </c>
      <c r="E107" s="96">
        <v>146.20222682288127</v>
      </c>
      <c r="F107" s="96">
        <v>95.394360763865791</v>
      </c>
      <c r="G107" s="96">
        <v>135.83327456593935</v>
      </c>
      <c r="H107" s="96">
        <v>157.60807430551739</v>
      </c>
      <c r="I107" s="96">
        <v>154.49738862843483</v>
      </c>
      <c r="J107" s="96">
        <v>142.05464592010449</v>
      </c>
      <c r="K107" s="96">
        <v>141.01775069441032</v>
      </c>
      <c r="L107" s="96">
        <v>94.35746553817161</v>
      </c>
      <c r="M107" s="96">
        <v>117.16916050344386</v>
      </c>
      <c r="N107" s="96">
        <v>217.74799739578063</v>
      </c>
      <c r="O107" s="97">
        <v>1731.6150269093032</v>
      </c>
    </row>
    <row r="108" spans="1:15" x14ac:dyDescent="0.2">
      <c r="A108" s="216"/>
      <c r="B108" s="94" t="s">
        <v>89</v>
      </c>
      <c r="C108" s="95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7">
        <v>0</v>
      </c>
    </row>
    <row r="109" spans="1:15" x14ac:dyDescent="0.2">
      <c r="A109" s="216"/>
      <c r="B109" s="94" t="s">
        <v>91</v>
      </c>
      <c r="C109" s="95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7">
        <v>0</v>
      </c>
    </row>
    <row r="110" spans="1:15" x14ac:dyDescent="0.2">
      <c r="A110" s="84" t="s">
        <v>85</v>
      </c>
      <c r="B110" s="84" t="s">
        <v>72</v>
      </c>
      <c r="C110" s="91">
        <v>53.040348746617823</v>
      </c>
      <c r="D110" s="92">
        <v>49.725326949954209</v>
      </c>
      <c r="E110" s="92">
        <v>41.990276091072445</v>
      </c>
      <c r="F110" s="92">
        <v>28.730188904417986</v>
      </c>
      <c r="G110" s="92">
        <v>47.515312418845134</v>
      </c>
      <c r="H110" s="92">
        <v>59.670392339945053</v>
      </c>
      <c r="I110" s="92">
        <v>62.985414136608668</v>
      </c>
      <c r="J110" s="92">
        <v>59.670392339945053</v>
      </c>
      <c r="K110" s="92">
        <v>58.565385074390512</v>
      </c>
      <c r="L110" s="92">
        <v>34.255225232190675</v>
      </c>
      <c r="M110" s="92">
        <v>41.990276091072445</v>
      </c>
      <c r="N110" s="92">
        <v>64.090421402163201</v>
      </c>
      <c r="O110" s="93">
        <v>602.22895972722324</v>
      </c>
    </row>
    <row r="111" spans="1:15" x14ac:dyDescent="0.2">
      <c r="A111" s="216"/>
      <c r="B111" s="94" t="s">
        <v>25</v>
      </c>
      <c r="C111" s="95">
        <v>3.2693779132965375</v>
      </c>
      <c r="D111" s="96">
        <v>3.0650417937155012</v>
      </c>
      <c r="E111" s="96">
        <v>2.5882575146930975</v>
      </c>
      <c r="F111" s="96">
        <v>1.770913036368956</v>
      </c>
      <c r="G111" s="96">
        <v>2.9288177139948175</v>
      </c>
      <c r="H111" s="96">
        <v>3.67805015245861</v>
      </c>
      <c r="I111" s="96">
        <v>3.8823862720396392</v>
      </c>
      <c r="J111" s="96">
        <v>3.67805015245861</v>
      </c>
      <c r="K111" s="96">
        <v>3.6099381125982575</v>
      </c>
      <c r="L111" s="96">
        <v>2.1114732356706796</v>
      </c>
      <c r="M111" s="96">
        <v>2.5882575146930975</v>
      </c>
      <c r="N111" s="96">
        <v>3.9504983118999775</v>
      </c>
      <c r="O111" s="97">
        <v>37.121061723887777</v>
      </c>
    </row>
    <row r="112" spans="1:15" x14ac:dyDescent="0.2">
      <c r="A112" s="216"/>
      <c r="B112" s="94" t="s">
        <v>26</v>
      </c>
      <c r="C112" s="95">
        <v>0.17853123989597702</v>
      </c>
      <c r="D112" s="96">
        <v>0.16737303740247847</v>
      </c>
      <c r="E112" s="96">
        <v>0.14133723158431516</v>
      </c>
      <c r="F112" s="96">
        <v>9.6704421610320876E-2</v>
      </c>
      <c r="G112" s="96">
        <v>0.15993423574014609</v>
      </c>
      <c r="H112" s="96">
        <v>0.20084764488297416</v>
      </c>
      <c r="I112" s="96">
        <v>0.21200584737647271</v>
      </c>
      <c r="J112" s="96">
        <v>0.20084764488297416</v>
      </c>
      <c r="K112" s="96">
        <v>0.19712824405180795</v>
      </c>
      <c r="L112" s="96">
        <v>0.11530142576615182</v>
      </c>
      <c r="M112" s="96">
        <v>0.14133723158431516</v>
      </c>
      <c r="N112" s="96">
        <v>0.21572524820763891</v>
      </c>
      <c r="O112" s="97">
        <v>2.0270734529855723</v>
      </c>
    </row>
    <row r="113" spans="1:15" x14ac:dyDescent="0.2">
      <c r="A113" s="216"/>
      <c r="B113" s="94" t="s">
        <v>27</v>
      </c>
      <c r="C113" s="95">
        <v>3.4479091531925143</v>
      </c>
      <c r="D113" s="96">
        <v>3.2324148311179797</v>
      </c>
      <c r="E113" s="96">
        <v>2.7295947462774128</v>
      </c>
      <c r="F113" s="96">
        <v>1.8676174579792768</v>
      </c>
      <c r="G113" s="96">
        <v>3.0887519497349638</v>
      </c>
      <c r="H113" s="96">
        <v>3.8788977973415841</v>
      </c>
      <c r="I113" s="96">
        <v>4.0943921194161117</v>
      </c>
      <c r="J113" s="96">
        <v>3.8788977973415841</v>
      </c>
      <c r="K113" s="96">
        <v>3.8070663566500653</v>
      </c>
      <c r="L113" s="96">
        <v>2.2267746614368313</v>
      </c>
      <c r="M113" s="96">
        <v>2.7295947462774128</v>
      </c>
      <c r="N113" s="96">
        <v>4.1662235601076167</v>
      </c>
      <c r="O113" s="97">
        <v>39.14813517687336</v>
      </c>
    </row>
    <row r="114" spans="1:15" x14ac:dyDescent="0.2">
      <c r="A114" s="216"/>
      <c r="B114" s="94" t="s">
        <v>51</v>
      </c>
      <c r="C114" s="95">
        <v>49.770970833321286</v>
      </c>
      <c r="D114" s="96">
        <v>46.660285156238707</v>
      </c>
      <c r="E114" s="96">
        <v>39.402018576379348</v>
      </c>
      <c r="F114" s="96">
        <v>26.95927586804903</v>
      </c>
      <c r="G114" s="96">
        <v>44.586494704850317</v>
      </c>
      <c r="H114" s="96">
        <v>55.992342187486443</v>
      </c>
      <c r="I114" s="96">
        <v>59.103027864569029</v>
      </c>
      <c r="J114" s="96">
        <v>55.992342187486443</v>
      </c>
      <c r="K114" s="96">
        <v>54.955446961792255</v>
      </c>
      <c r="L114" s="96">
        <v>32.143751996519995</v>
      </c>
      <c r="M114" s="96">
        <v>39.402018576379348</v>
      </c>
      <c r="N114" s="96">
        <v>60.139923090263224</v>
      </c>
      <c r="O114" s="97">
        <v>565.10789800333544</v>
      </c>
    </row>
    <row r="115" spans="1:15" x14ac:dyDescent="0.2">
      <c r="A115" s="216"/>
      <c r="B115" s="94" t="s">
        <v>89</v>
      </c>
      <c r="C115" s="95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97">
        <v>0</v>
      </c>
    </row>
    <row r="116" spans="1:15" x14ac:dyDescent="0.2">
      <c r="A116" s="216"/>
      <c r="B116" s="94" t="s">
        <v>91</v>
      </c>
      <c r="C116" s="95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7">
        <v>0</v>
      </c>
    </row>
    <row r="117" spans="1:15" x14ac:dyDescent="0.2">
      <c r="A117" s="84" t="s">
        <v>73</v>
      </c>
      <c r="B117" s="85"/>
      <c r="C117" s="91">
        <v>9346.1514520602814</v>
      </c>
      <c r="D117" s="92">
        <v>9051.1145121572208</v>
      </c>
      <c r="E117" s="92">
        <v>8040.0328641748183</v>
      </c>
      <c r="F117" s="92">
        <v>7138.3469354823146</v>
      </c>
      <c r="G117" s="92">
        <v>9759.4241693776821</v>
      </c>
      <c r="H117" s="92">
        <v>11358.369682635093</v>
      </c>
      <c r="I117" s="92">
        <v>11897.613228225713</v>
      </c>
      <c r="J117" s="92">
        <v>11594.841237463766</v>
      </c>
      <c r="K117" s="92">
        <v>10766.085788297863</v>
      </c>
      <c r="L117" s="92">
        <v>7786.9862003628286</v>
      </c>
      <c r="M117" s="92">
        <v>7971.5224137104369</v>
      </c>
      <c r="N117" s="92">
        <v>10955.042030707689</v>
      </c>
      <c r="O117" s="93">
        <v>115665.53051465571</v>
      </c>
    </row>
    <row r="118" spans="1:15" x14ac:dyDescent="0.2">
      <c r="A118" s="84" t="s">
        <v>28</v>
      </c>
      <c r="B118" s="85"/>
      <c r="C118" s="223">
        <v>576.09163313879401</v>
      </c>
      <c r="D118" s="224">
        <v>557.90571849608182</v>
      </c>
      <c r="E118" s="224">
        <v>495.58320202386693</v>
      </c>
      <c r="F118" s="224">
        <v>440.00377749782552</v>
      </c>
      <c r="G118" s="224">
        <v>601.56553604656278</v>
      </c>
      <c r="H118" s="224">
        <v>700.12365772448175</v>
      </c>
      <c r="I118" s="224">
        <v>733.36233317632946</v>
      </c>
      <c r="J118" s="224">
        <v>714.69963425459559</v>
      </c>
      <c r="K118" s="224">
        <v>663.61560435933688</v>
      </c>
      <c r="L118" s="224">
        <v>479.98554489584814</v>
      </c>
      <c r="M118" s="224">
        <v>491.36025555252542</v>
      </c>
      <c r="N118" s="224">
        <v>675.26276317545637</v>
      </c>
      <c r="O118" s="225">
        <v>7129.5596603417043</v>
      </c>
    </row>
    <row r="119" spans="1:15" x14ac:dyDescent="0.2">
      <c r="A119" s="84" t="s">
        <v>29</v>
      </c>
      <c r="B119" s="85"/>
      <c r="C119" s="223">
        <v>31.458692230003624</v>
      </c>
      <c r="D119" s="224">
        <v>30.465612208082248</v>
      </c>
      <c r="E119" s="224">
        <v>27.062360447565183</v>
      </c>
      <c r="F119" s="224">
        <v>24.027329369333575</v>
      </c>
      <c r="G119" s="224">
        <v>32.849748140859766</v>
      </c>
      <c r="H119" s="224">
        <v>38.231721143557245</v>
      </c>
      <c r="I119" s="224">
        <v>40.04678874916636</v>
      </c>
      <c r="J119" s="224">
        <v>39.027672921426813</v>
      </c>
      <c r="K119" s="224">
        <v>36.238122298052176</v>
      </c>
      <c r="L119" s="224">
        <v>26.210617657228127</v>
      </c>
      <c r="M119" s="224">
        <v>26.83175759603288</v>
      </c>
      <c r="N119" s="224">
        <v>36.874139840181584</v>
      </c>
      <c r="O119" s="225">
        <v>389.32456260148962</v>
      </c>
    </row>
    <row r="120" spans="1:15" x14ac:dyDescent="0.2">
      <c r="A120" s="84" t="s">
        <v>30</v>
      </c>
      <c r="B120" s="85"/>
      <c r="C120" s="223">
        <v>607.55032536879764</v>
      </c>
      <c r="D120" s="224">
        <v>588.37133070416428</v>
      </c>
      <c r="E120" s="224">
        <v>522.64556247143207</v>
      </c>
      <c r="F120" s="224">
        <v>464.03110686715917</v>
      </c>
      <c r="G120" s="224">
        <v>634.41528418742269</v>
      </c>
      <c r="H120" s="224">
        <v>738.35537886803888</v>
      </c>
      <c r="I120" s="224">
        <v>773.40912192549592</v>
      </c>
      <c r="J120" s="224">
        <v>753.72730717602235</v>
      </c>
      <c r="K120" s="224">
        <v>699.85372665738896</v>
      </c>
      <c r="L120" s="224">
        <v>506.19616255307619</v>
      </c>
      <c r="M120" s="224">
        <v>518.19201314855832</v>
      </c>
      <c r="N120" s="224">
        <v>712.13690301563804</v>
      </c>
      <c r="O120" s="225">
        <v>7518.8842229431957</v>
      </c>
    </row>
    <row r="121" spans="1:15" x14ac:dyDescent="0.2">
      <c r="A121" s="84" t="s">
        <v>63</v>
      </c>
      <c r="B121" s="85"/>
      <c r="C121" s="91">
        <v>8770.059818921487</v>
      </c>
      <c r="D121" s="92">
        <v>8493.2087936611388</v>
      </c>
      <c r="E121" s="92">
        <v>7544.4496621509516</v>
      </c>
      <c r="F121" s="92">
        <v>6698.3431579844901</v>
      </c>
      <c r="G121" s="92">
        <v>9157.8586333311177</v>
      </c>
      <c r="H121" s="92">
        <v>10658.246024910615</v>
      </c>
      <c r="I121" s="92">
        <v>11164.250895049381</v>
      </c>
      <c r="J121" s="92">
        <v>10880.141603209173</v>
      </c>
      <c r="K121" s="92">
        <v>10102.470183938525</v>
      </c>
      <c r="L121" s="92">
        <v>7307.0006554669799</v>
      </c>
      <c r="M121" s="92">
        <v>7480.1621581579102</v>
      </c>
      <c r="N121" s="92">
        <v>10279.779267532234</v>
      </c>
      <c r="O121" s="93">
        <v>108535.97085431402</v>
      </c>
    </row>
    <row r="122" spans="1:15" x14ac:dyDescent="0.2">
      <c r="A122" s="84" t="s">
        <v>90</v>
      </c>
      <c r="B122" s="85"/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3">
        <v>0</v>
      </c>
    </row>
    <row r="123" spans="1:15" x14ac:dyDescent="0.2">
      <c r="A123" s="98" t="s">
        <v>92</v>
      </c>
      <c r="B123" s="217"/>
      <c r="C123" s="99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  <c r="J123" s="100">
        <v>0</v>
      </c>
      <c r="K123" s="100">
        <v>0</v>
      </c>
      <c r="L123" s="100">
        <v>0</v>
      </c>
      <c r="M123" s="100">
        <v>0</v>
      </c>
      <c r="N123" s="100">
        <v>0</v>
      </c>
      <c r="O123" s="101">
        <v>0</v>
      </c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F27" sqref="F27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48" customWidth="1"/>
    <col min="5" max="5" width="24.28515625" style="1" customWidth="1"/>
    <col min="6" max="6" width="7.7109375" style="148" customWidth="1"/>
    <col min="7" max="7" width="10.140625" style="148" customWidth="1"/>
    <col min="8" max="8" width="11.140625" style="148" bestFit="1" customWidth="1"/>
    <col min="9" max="9" width="11.28515625" style="149" customWidth="1"/>
    <col min="10" max="10" width="13.7109375" style="148" customWidth="1"/>
    <col min="11" max="11" width="13.5703125" style="150" customWidth="1"/>
    <col min="12" max="12" width="14.7109375" style="148" customWidth="1"/>
    <col min="13" max="13" width="13.42578125" style="112" bestFit="1" customWidth="1"/>
    <col min="14" max="17" width="13.42578125" style="112" customWidth="1"/>
    <col min="18" max="18" width="15.5703125" style="215" customWidth="1"/>
    <col min="19" max="16384" width="8.7109375" style="1"/>
  </cols>
  <sheetData>
    <row r="1" spans="2:19" ht="22.5" x14ac:dyDescent="0.2">
      <c r="B1" s="10" t="s">
        <v>98</v>
      </c>
      <c r="C1" s="102"/>
      <c r="D1" s="103"/>
      <c r="E1" s="102"/>
      <c r="F1" s="104" t="s">
        <v>12</v>
      </c>
      <c r="G1" s="105"/>
      <c r="H1" s="106"/>
      <c r="I1" s="107"/>
      <c r="J1" s="239" t="str">
        <f>"True-Up ARR
(CY"&amp;R1&amp;")"</f>
        <v>True-Up ARR
(CY2022)</v>
      </c>
      <c r="K1" s="239" t="str">
        <f>"Projected ARR
(Jan'"&amp;RIGHT(R$1,2)&amp;" - Dec'"&amp;RIGHT(R$1,2)&amp;")"</f>
        <v>Projected ARR
(Jan'22 - Dec'22)</v>
      </c>
      <c r="L1" s="108" t="s">
        <v>47</v>
      </c>
      <c r="M1" s="109"/>
      <c r="N1" s="52"/>
      <c r="O1" s="52"/>
      <c r="P1" s="52"/>
      <c r="Q1" s="52"/>
      <c r="R1" s="110">
        <v>2022</v>
      </c>
      <c r="S1" s="2"/>
    </row>
    <row r="2" spans="2:19" x14ac:dyDescent="0.2">
      <c r="B2" s="10" t="s">
        <v>54</v>
      </c>
      <c r="C2" s="102"/>
      <c r="D2" s="103"/>
      <c r="E2" s="102"/>
      <c r="F2" s="111">
        <v>9</v>
      </c>
      <c r="G2" s="250"/>
      <c r="H2" s="250"/>
      <c r="I2" s="113" t="s">
        <v>6</v>
      </c>
      <c r="J2" s="114">
        <v>115665.53051465572</v>
      </c>
      <c r="K2" s="114">
        <v>101449.20513025638</v>
      </c>
      <c r="L2" s="246"/>
      <c r="M2" s="116"/>
      <c r="N2" s="52"/>
      <c r="O2" s="52"/>
      <c r="P2" s="52"/>
      <c r="Q2" s="52"/>
      <c r="R2" s="1"/>
    </row>
    <row r="3" spans="2:19" x14ac:dyDescent="0.2">
      <c r="B3" s="10" t="str">
        <f>"for CY"&amp;R1&amp;" SPP Network Transmission Service"</f>
        <v>for CY2022 SPP Network Transmission Service</v>
      </c>
      <c r="C3" s="102"/>
      <c r="D3" s="103"/>
      <c r="E3" s="102"/>
      <c r="F3" s="111"/>
      <c r="G3" s="250"/>
      <c r="H3" s="250"/>
      <c r="I3" s="113" t="s">
        <v>10</v>
      </c>
      <c r="J3" s="117">
        <v>1.105007265554538</v>
      </c>
      <c r="K3" s="117">
        <v>1.0368952256941935</v>
      </c>
      <c r="L3" s="137" t="str">
        <f>"Inv. Jan-Dec'"&amp;RIGHT(R1,2)</f>
        <v>Inv. Jan-Dec'22</v>
      </c>
      <c r="M3" s="116"/>
      <c r="N3" s="52"/>
      <c r="O3" s="52"/>
      <c r="P3" s="52"/>
      <c r="Q3" s="52"/>
      <c r="R3" s="1"/>
    </row>
    <row r="4" spans="2:19" x14ac:dyDescent="0.2">
      <c r="B4" s="9"/>
      <c r="C4" s="102"/>
      <c r="D4" s="103"/>
      <c r="E4" s="102"/>
      <c r="F4" s="111"/>
      <c r="G4" s="112"/>
      <c r="H4" s="112"/>
      <c r="I4" s="51"/>
      <c r="J4" s="112"/>
      <c r="K4" s="118"/>
      <c r="L4" s="112"/>
      <c r="M4" s="119"/>
      <c r="P4" s="52"/>
      <c r="Q4" s="52"/>
      <c r="R4" s="1"/>
    </row>
    <row r="5" spans="2:19" x14ac:dyDescent="0.2">
      <c r="B5" s="9"/>
      <c r="C5" s="102"/>
      <c r="D5" s="103"/>
      <c r="E5" s="102"/>
      <c r="F5" s="111"/>
      <c r="G5" s="112"/>
      <c r="H5" s="112"/>
      <c r="I5" s="113"/>
      <c r="J5" s="112"/>
      <c r="K5" s="114">
        <v>0</v>
      </c>
      <c r="L5" s="115"/>
      <c r="M5" s="120"/>
      <c r="N5" s="121"/>
      <c r="O5" s="121"/>
      <c r="P5" s="52"/>
      <c r="Q5" s="52"/>
      <c r="R5" s="122"/>
    </row>
    <row r="6" spans="2:19" x14ac:dyDescent="0.2">
      <c r="B6" s="10" t="s">
        <v>23</v>
      </c>
      <c r="D6" s="103"/>
      <c r="E6" s="102"/>
      <c r="F6" s="123"/>
      <c r="G6" s="124"/>
      <c r="H6" s="125"/>
      <c r="I6" s="126"/>
      <c r="J6" s="127"/>
      <c r="K6" s="117">
        <v>0</v>
      </c>
      <c r="L6" s="219"/>
      <c r="M6" s="120"/>
      <c r="N6" s="121"/>
      <c r="O6" s="121"/>
      <c r="P6" s="121"/>
      <c r="Q6" s="121"/>
      <c r="R6" s="1"/>
    </row>
    <row r="7" spans="2:19" x14ac:dyDescent="0.2">
      <c r="B7" s="9" t="s">
        <v>79</v>
      </c>
      <c r="D7" s="103"/>
      <c r="E7" s="102"/>
      <c r="F7" s="111"/>
      <c r="G7" s="251"/>
      <c r="H7" s="250"/>
      <c r="I7" s="113"/>
      <c r="J7" s="128"/>
      <c r="K7" s="115"/>
      <c r="L7" s="115"/>
      <c r="M7" s="129"/>
      <c r="N7" s="130"/>
      <c r="O7" s="130"/>
      <c r="P7" s="130"/>
      <c r="Q7" s="130"/>
      <c r="R7" s="1"/>
    </row>
    <row r="8" spans="2:19" x14ac:dyDescent="0.2">
      <c r="B8" s="10"/>
      <c r="C8" s="102"/>
      <c r="D8" s="103"/>
      <c r="E8" s="102"/>
      <c r="F8" s="111"/>
      <c r="G8" s="250"/>
      <c r="H8" s="250"/>
      <c r="I8" s="113"/>
      <c r="J8" s="131"/>
      <c r="K8" s="115"/>
      <c r="L8" s="132"/>
      <c r="M8" s="116"/>
      <c r="N8" s="52"/>
      <c r="O8" s="52"/>
      <c r="P8" s="52"/>
      <c r="Q8" s="52"/>
      <c r="R8" s="122"/>
    </row>
    <row r="9" spans="2:19" x14ac:dyDescent="0.2">
      <c r="B9" s="133"/>
      <c r="C9" s="102"/>
      <c r="D9" s="103"/>
      <c r="E9" s="102"/>
      <c r="F9" s="111"/>
      <c r="G9" s="112"/>
      <c r="H9" s="112"/>
      <c r="I9" s="134"/>
      <c r="J9" s="135"/>
      <c r="K9" s="136"/>
      <c r="L9" s="137"/>
      <c r="M9" s="116"/>
      <c r="N9" s="52"/>
      <c r="O9" s="52"/>
      <c r="P9" s="52"/>
      <c r="Q9" s="52"/>
      <c r="R9" s="122"/>
    </row>
    <row r="10" spans="2:19" ht="13.5" thickBot="1" x14ac:dyDescent="0.25">
      <c r="B10" s="9"/>
      <c r="D10" s="1"/>
      <c r="E10" s="138"/>
      <c r="F10" s="139"/>
      <c r="G10" s="140"/>
      <c r="H10" s="141"/>
      <c r="I10" s="142"/>
      <c r="J10" s="143"/>
      <c r="K10" s="143"/>
      <c r="L10" s="144"/>
      <c r="M10" s="145"/>
      <c r="R10" s="146"/>
    </row>
    <row r="11" spans="2:19" x14ac:dyDescent="0.2">
      <c r="B11" s="147" t="s">
        <v>97</v>
      </c>
      <c r="E11" s="138"/>
      <c r="L11" s="151"/>
      <c r="M11" s="1"/>
      <c r="N11" s="1"/>
      <c r="O11" s="1"/>
      <c r="P11" s="1"/>
      <c r="Q11" s="1"/>
      <c r="R11" s="122"/>
    </row>
    <row r="12" spans="2:19" x14ac:dyDescent="0.2">
      <c r="E12" s="138"/>
      <c r="J12" s="218"/>
      <c r="L12" s="151"/>
      <c r="R12" s="152" t="s">
        <v>62</v>
      </c>
    </row>
    <row r="13" spans="2:19" x14ac:dyDescent="0.2">
      <c r="E13" s="138"/>
      <c r="F13" s="153"/>
      <c r="G13" s="154"/>
      <c r="H13" s="154"/>
      <c r="I13" s="155" t="s">
        <v>60</v>
      </c>
      <c r="J13" s="156">
        <f t="shared" ref="J13:R13" si="0">SUM(J56:J211)</f>
        <v>30679.421720856219</v>
      </c>
      <c r="K13" s="156">
        <f t="shared" si="0"/>
        <v>28788.359046173569</v>
      </c>
      <c r="L13" s="157">
        <f t="shared" si="0"/>
        <v>1891.0626746826072</v>
      </c>
      <c r="M13" s="158">
        <f t="shared" si="0"/>
        <v>103.26544467649808</v>
      </c>
      <c r="N13" s="156">
        <f t="shared" si="0"/>
        <v>1994.3281193591049</v>
      </c>
      <c r="O13" s="156">
        <f t="shared" si="0"/>
        <v>0</v>
      </c>
      <c r="P13" s="156">
        <f t="shared" si="0"/>
        <v>0</v>
      </c>
      <c r="Q13" s="156">
        <f t="shared" si="0"/>
        <v>0</v>
      </c>
      <c r="R13" s="157">
        <f t="shared" si="0"/>
        <v>1994.3281193591049</v>
      </c>
    </row>
    <row r="14" spans="2:19" x14ac:dyDescent="0.2">
      <c r="E14" s="138"/>
      <c r="F14" s="159"/>
      <c r="G14" s="159"/>
      <c r="H14" s="159"/>
      <c r="I14" s="160" t="s">
        <v>61</v>
      </c>
      <c r="J14" s="156">
        <f>SUM(J20:J211)</f>
        <v>115665.53051465563</v>
      </c>
      <c r="K14" s="156">
        <f>SUM(K20:K211)</f>
        <v>108535.97085431406</v>
      </c>
      <c r="L14" s="157">
        <f>SUM(L20:L211)</f>
        <v>7129.5596603417225</v>
      </c>
      <c r="M14" s="226">
        <v>389.32456260148956</v>
      </c>
      <c r="N14" s="156">
        <f>SUM(N20:N211)</f>
        <v>7518.8842229431966</v>
      </c>
      <c r="O14" s="156">
        <f>SUM(O20:O211)</f>
        <v>0</v>
      </c>
      <c r="P14" s="156">
        <f>SUM(P20:P211)</f>
        <v>0</v>
      </c>
      <c r="Q14" s="156">
        <f>SUM(Q20:Q211)</f>
        <v>0</v>
      </c>
      <c r="R14" s="157">
        <f>SUM(R20:R211)</f>
        <v>7518.8842229431966</v>
      </c>
    </row>
    <row r="15" spans="2:19" x14ac:dyDescent="0.2">
      <c r="B15" s="161" t="s">
        <v>84</v>
      </c>
      <c r="E15" s="138"/>
      <c r="J15" s="149"/>
      <c r="L15" s="151"/>
      <c r="M15" s="247"/>
      <c r="N15" s="162"/>
      <c r="O15" s="162"/>
      <c r="P15" s="162"/>
      <c r="Q15" s="162"/>
      <c r="R15" s="163" t="s">
        <v>20</v>
      </c>
    </row>
    <row r="16" spans="2:19" x14ac:dyDescent="0.2">
      <c r="B16" s="164" t="str">
        <f>"** Actual Trued-Up CY"&amp;R1&amp;" Charge reflects "&amp;R1&amp;" True-UP Rate x MW"</f>
        <v>** Actual Trued-Up CY2022 Charge reflects 2022 True-UP Rate x MW</v>
      </c>
      <c r="E16" s="138"/>
      <c r="F16" s="112"/>
      <c r="G16" s="5"/>
      <c r="J16" s="165"/>
      <c r="L16" s="166" t="s">
        <v>11</v>
      </c>
      <c r="M16" s="162"/>
      <c r="N16" s="162"/>
      <c r="O16" s="162"/>
      <c r="P16" s="162"/>
      <c r="Q16" s="162"/>
      <c r="R16" s="167"/>
    </row>
    <row r="17" spans="1:18" x14ac:dyDescent="0.2">
      <c r="B17" s="168" t="s">
        <v>64</v>
      </c>
      <c r="E17" s="138"/>
      <c r="I17" s="169"/>
      <c r="J17" s="170"/>
      <c r="K17" s="171"/>
      <c r="L17" s="171"/>
      <c r="M17" s="171"/>
      <c r="N17" s="171"/>
      <c r="O17" s="171"/>
      <c r="P17" s="171"/>
      <c r="Q17" s="171"/>
      <c r="R17" s="172"/>
    </row>
    <row r="18" spans="1:18" ht="3.6" customHeight="1" x14ac:dyDescent="0.2">
      <c r="I18" s="173"/>
      <c r="J18" s="170"/>
      <c r="K18" s="173"/>
      <c r="L18" s="173"/>
      <c r="M18" s="174"/>
      <c r="N18" s="174"/>
      <c r="O18" s="174"/>
      <c r="P18" s="174"/>
      <c r="Q18" s="174"/>
      <c r="R18" s="175"/>
    </row>
    <row r="19" spans="1:18" ht="38.25" customHeight="1" x14ac:dyDescent="0.2">
      <c r="B19" s="176" t="s">
        <v>55</v>
      </c>
      <c r="C19" s="248" t="s">
        <v>4</v>
      </c>
      <c r="D19" s="248" t="s">
        <v>5</v>
      </c>
      <c r="E19" s="240" t="s">
        <v>0</v>
      </c>
      <c r="F19" s="241" t="s">
        <v>12</v>
      </c>
      <c r="G19" s="242" t="s">
        <v>1</v>
      </c>
      <c r="H19" s="177" t="s">
        <v>50</v>
      </c>
      <c r="I19" s="177" t="s">
        <v>48</v>
      </c>
      <c r="J19" s="178" t="str">
        <f>"True-Up Charge"</f>
        <v>True-Up Charge</v>
      </c>
      <c r="K19" s="178" t="s">
        <v>49</v>
      </c>
      <c r="L19" s="179" t="s">
        <v>3</v>
      </c>
      <c r="M19" s="180" t="s">
        <v>7</v>
      </c>
      <c r="N19" s="181" t="s">
        <v>103</v>
      </c>
      <c r="O19" s="181" t="s">
        <v>86</v>
      </c>
      <c r="P19" s="181" t="s">
        <v>87</v>
      </c>
      <c r="Q19" s="181" t="s">
        <v>88</v>
      </c>
      <c r="R19" s="182" t="s">
        <v>2</v>
      </c>
    </row>
    <row r="20" spans="1:18" s="52" customFormat="1" ht="12.75" customHeight="1" x14ac:dyDescent="0.2">
      <c r="A20" s="112">
        <v>1</v>
      </c>
      <c r="B20" s="183">
        <f>DATE($R$1,A20,1)</f>
        <v>44562</v>
      </c>
      <c r="C20" s="243">
        <v>44595</v>
      </c>
      <c r="D20" s="243">
        <v>44615</v>
      </c>
      <c r="E20" s="184" t="s">
        <v>21</v>
      </c>
      <c r="F20" s="112">
        <v>9</v>
      </c>
      <c r="G20" s="185">
        <v>2899</v>
      </c>
      <c r="H20" s="186">
        <f>+$K$3</f>
        <v>1.0368952256941935</v>
      </c>
      <c r="I20" s="186">
        <f t="shared" ref="I20:I63" si="1">$J$3</f>
        <v>1.105007265554538</v>
      </c>
      <c r="J20" s="187">
        <f t="shared" ref="J20:J108" si="2">+$G20*I20</f>
        <v>3203.4160628426057</v>
      </c>
      <c r="K20" s="188">
        <f>+$G20*H20</f>
        <v>3005.9592592874669</v>
      </c>
      <c r="L20" s="189">
        <f t="shared" ref="L20:L34" si="3">+J20-K20</f>
        <v>197.45680355513878</v>
      </c>
      <c r="M20" s="190">
        <f>G20/$G$212*$M$14</f>
        <v>10.78254300955078</v>
      </c>
      <c r="N20" s="191">
        <f>SUM(L20:M20)</f>
        <v>208.23934656468955</v>
      </c>
      <c r="O20" s="190">
        <v>0</v>
      </c>
      <c r="P20" s="190">
        <v>0</v>
      </c>
      <c r="Q20" s="190">
        <v>0</v>
      </c>
      <c r="R20" s="191">
        <f>+N20-Q20</f>
        <v>208.23934656468955</v>
      </c>
    </row>
    <row r="21" spans="1:18" x14ac:dyDescent="0.2">
      <c r="A21" s="148">
        <v>2</v>
      </c>
      <c r="B21" s="183">
        <f t="shared" ref="B21:B108" si="4">DATE($R$1,A21,1)</f>
        <v>44593</v>
      </c>
      <c r="C21" s="243">
        <v>44623</v>
      </c>
      <c r="D21" s="243">
        <v>44642</v>
      </c>
      <c r="E21" s="192" t="s">
        <v>21</v>
      </c>
      <c r="F21" s="148">
        <v>9</v>
      </c>
      <c r="G21" s="185">
        <v>2759</v>
      </c>
      <c r="H21" s="186">
        <f t="shared" ref="H21:H84" si="5">+$K$3</f>
        <v>1.0368952256941935</v>
      </c>
      <c r="I21" s="186">
        <f t="shared" si="1"/>
        <v>1.105007265554538</v>
      </c>
      <c r="J21" s="187">
        <f t="shared" si="2"/>
        <v>3048.7150456649701</v>
      </c>
      <c r="K21" s="188">
        <f t="shared" ref="K21:K33" si="6">+$G21*H21</f>
        <v>2860.7939276902798</v>
      </c>
      <c r="L21" s="189">
        <f t="shared" si="3"/>
        <v>187.92111797469033</v>
      </c>
      <c r="M21" s="190">
        <f t="shared" ref="M21:M84" si="7">G21/$G$212*$M$14</f>
        <v>10.261826893187513</v>
      </c>
      <c r="N21" s="191">
        <f t="shared" ref="N21:N84" si="8">SUM(L21:M21)</f>
        <v>198.18294486787784</v>
      </c>
      <c r="O21" s="190">
        <v>0</v>
      </c>
      <c r="P21" s="190">
        <v>0</v>
      </c>
      <c r="Q21" s="190">
        <v>0</v>
      </c>
      <c r="R21" s="191">
        <f t="shared" ref="R21:R84" si="9">+N21-Q21</f>
        <v>198.18294486787784</v>
      </c>
    </row>
    <row r="22" spans="1:18" x14ac:dyDescent="0.2">
      <c r="A22" s="148">
        <v>3</v>
      </c>
      <c r="B22" s="183">
        <f t="shared" si="4"/>
        <v>44621</v>
      </c>
      <c r="C22" s="243">
        <v>44656</v>
      </c>
      <c r="D22" s="243">
        <v>44676</v>
      </c>
      <c r="E22" s="192" t="s">
        <v>21</v>
      </c>
      <c r="F22" s="148">
        <v>9</v>
      </c>
      <c r="G22" s="185">
        <v>2450</v>
      </c>
      <c r="H22" s="186">
        <f t="shared" si="5"/>
        <v>1.0368952256941935</v>
      </c>
      <c r="I22" s="186">
        <f t="shared" si="1"/>
        <v>1.105007265554538</v>
      </c>
      <c r="J22" s="187">
        <f t="shared" si="2"/>
        <v>2707.267800608618</v>
      </c>
      <c r="K22" s="188">
        <f t="shared" si="6"/>
        <v>2540.3933029507739</v>
      </c>
      <c r="L22" s="189">
        <f t="shared" si="3"/>
        <v>166.87449765784413</v>
      </c>
      <c r="M22" s="190">
        <f t="shared" si="7"/>
        <v>9.1125320363571607</v>
      </c>
      <c r="N22" s="191">
        <f t="shared" si="8"/>
        <v>175.98702969420128</v>
      </c>
      <c r="O22" s="190">
        <v>0</v>
      </c>
      <c r="P22" s="190">
        <v>0</v>
      </c>
      <c r="Q22" s="190">
        <v>0</v>
      </c>
      <c r="R22" s="191">
        <f t="shared" si="9"/>
        <v>175.98702969420128</v>
      </c>
    </row>
    <row r="23" spans="1:18" x14ac:dyDescent="0.2">
      <c r="A23" s="112">
        <v>4</v>
      </c>
      <c r="B23" s="183">
        <f t="shared" si="4"/>
        <v>44652</v>
      </c>
      <c r="C23" s="243">
        <v>44685</v>
      </c>
      <c r="D23" s="243">
        <v>44705</v>
      </c>
      <c r="E23" s="192" t="s">
        <v>21</v>
      </c>
      <c r="F23" s="148">
        <v>9</v>
      </c>
      <c r="G23" s="185">
        <v>2395</v>
      </c>
      <c r="H23" s="186">
        <f t="shared" si="5"/>
        <v>1.0368952256941935</v>
      </c>
      <c r="I23" s="186">
        <f t="shared" si="1"/>
        <v>1.105007265554538</v>
      </c>
      <c r="J23" s="187">
        <f t="shared" si="2"/>
        <v>2646.4924010031186</v>
      </c>
      <c r="K23" s="188">
        <f t="shared" si="6"/>
        <v>2483.3640655375934</v>
      </c>
      <c r="L23" s="189">
        <f t="shared" si="3"/>
        <v>163.1283354655252</v>
      </c>
      <c r="M23" s="190">
        <f t="shared" si="7"/>
        <v>8.9079649906430198</v>
      </c>
      <c r="N23" s="191">
        <f t="shared" si="8"/>
        <v>172.03630045616822</v>
      </c>
      <c r="O23" s="190">
        <v>0</v>
      </c>
      <c r="P23" s="190">
        <v>0</v>
      </c>
      <c r="Q23" s="190">
        <v>0</v>
      </c>
      <c r="R23" s="191">
        <f t="shared" si="9"/>
        <v>172.03630045616822</v>
      </c>
    </row>
    <row r="24" spans="1:18" ht="12" customHeight="1" x14ac:dyDescent="0.2">
      <c r="A24" s="148">
        <v>5</v>
      </c>
      <c r="B24" s="183">
        <f t="shared" si="4"/>
        <v>44682</v>
      </c>
      <c r="C24" s="243">
        <v>44715</v>
      </c>
      <c r="D24" s="243">
        <v>44735</v>
      </c>
      <c r="E24" s="54" t="s">
        <v>21</v>
      </c>
      <c r="F24" s="148">
        <v>9</v>
      </c>
      <c r="G24" s="185">
        <v>3482</v>
      </c>
      <c r="H24" s="186">
        <f t="shared" si="5"/>
        <v>1.0368952256941935</v>
      </c>
      <c r="I24" s="186">
        <f t="shared" si="1"/>
        <v>1.105007265554538</v>
      </c>
      <c r="J24" s="187">
        <f t="shared" si="2"/>
        <v>3847.6352986609013</v>
      </c>
      <c r="K24" s="188">
        <f t="shared" si="6"/>
        <v>3610.4691758671815</v>
      </c>
      <c r="L24" s="189">
        <f t="shared" si="3"/>
        <v>237.16612279371975</v>
      </c>
      <c r="M24" s="190">
        <f t="shared" si="7"/>
        <v>12.950953694120667</v>
      </c>
      <c r="N24" s="191">
        <f t="shared" si="8"/>
        <v>250.11707648784042</v>
      </c>
      <c r="O24" s="190">
        <v>0</v>
      </c>
      <c r="P24" s="190">
        <v>0</v>
      </c>
      <c r="Q24" s="190">
        <v>0</v>
      </c>
      <c r="R24" s="191">
        <f t="shared" si="9"/>
        <v>250.11707648784042</v>
      </c>
    </row>
    <row r="25" spans="1:18" x14ac:dyDescent="0.2">
      <c r="A25" s="148">
        <v>6</v>
      </c>
      <c r="B25" s="183">
        <f t="shared" si="4"/>
        <v>44713</v>
      </c>
      <c r="C25" s="243">
        <v>44747</v>
      </c>
      <c r="D25" s="243">
        <v>44767</v>
      </c>
      <c r="E25" s="54" t="s">
        <v>21</v>
      </c>
      <c r="F25" s="148">
        <v>9</v>
      </c>
      <c r="G25" s="185">
        <v>4006</v>
      </c>
      <c r="H25" s="186">
        <f t="shared" si="5"/>
        <v>1.0368952256941935</v>
      </c>
      <c r="I25" s="186">
        <f t="shared" si="1"/>
        <v>1.105007265554538</v>
      </c>
      <c r="J25" s="187">
        <f t="shared" si="2"/>
        <v>4426.6591058114791</v>
      </c>
      <c r="K25" s="188">
        <f t="shared" si="6"/>
        <v>4153.8022741309387</v>
      </c>
      <c r="L25" s="193">
        <f t="shared" si="3"/>
        <v>272.85683168054038</v>
      </c>
      <c r="M25" s="190">
        <f t="shared" si="7"/>
        <v>14.899919729651749</v>
      </c>
      <c r="N25" s="191">
        <f t="shared" si="8"/>
        <v>287.75675141019212</v>
      </c>
      <c r="O25" s="190">
        <v>0</v>
      </c>
      <c r="P25" s="190">
        <v>0</v>
      </c>
      <c r="Q25" s="190">
        <v>0</v>
      </c>
      <c r="R25" s="191">
        <f t="shared" si="9"/>
        <v>287.75675141019212</v>
      </c>
    </row>
    <row r="26" spans="1:18" x14ac:dyDescent="0.2">
      <c r="A26" s="112">
        <v>7</v>
      </c>
      <c r="B26" s="183">
        <f t="shared" si="4"/>
        <v>44743</v>
      </c>
      <c r="C26" s="243">
        <v>44776</v>
      </c>
      <c r="D26" s="243">
        <v>44796</v>
      </c>
      <c r="E26" s="54" t="s">
        <v>21</v>
      </c>
      <c r="F26" s="148">
        <v>9</v>
      </c>
      <c r="G26" s="185">
        <v>4230</v>
      </c>
      <c r="H26" s="186">
        <f t="shared" si="5"/>
        <v>1.0368952256941935</v>
      </c>
      <c r="I26" s="186">
        <f t="shared" si="1"/>
        <v>1.105007265554538</v>
      </c>
      <c r="J26" s="187">
        <f t="shared" si="2"/>
        <v>4674.180733295696</v>
      </c>
      <c r="K26" s="194">
        <f t="shared" si="6"/>
        <v>4386.0668046864384</v>
      </c>
      <c r="L26" s="193">
        <f t="shared" si="3"/>
        <v>288.11392860925753</v>
      </c>
      <c r="M26" s="190">
        <f t="shared" si="7"/>
        <v>15.733065515832976</v>
      </c>
      <c r="N26" s="191">
        <f t="shared" si="8"/>
        <v>303.84699412509053</v>
      </c>
      <c r="O26" s="190">
        <v>0</v>
      </c>
      <c r="P26" s="190">
        <v>0</v>
      </c>
      <c r="Q26" s="190">
        <v>0</v>
      </c>
      <c r="R26" s="191">
        <f t="shared" si="9"/>
        <v>303.84699412509053</v>
      </c>
    </row>
    <row r="27" spans="1:18" x14ac:dyDescent="0.2">
      <c r="A27" s="148">
        <v>8</v>
      </c>
      <c r="B27" s="183">
        <f t="shared" si="4"/>
        <v>44774</v>
      </c>
      <c r="C27" s="243">
        <v>44809</v>
      </c>
      <c r="D27" s="243">
        <v>44827</v>
      </c>
      <c r="E27" s="54" t="s">
        <v>21</v>
      </c>
      <c r="F27" s="148">
        <v>9</v>
      </c>
      <c r="G27" s="185">
        <v>4151</v>
      </c>
      <c r="H27" s="186">
        <f t="shared" si="5"/>
        <v>1.0368952256941935</v>
      </c>
      <c r="I27" s="186">
        <f t="shared" si="1"/>
        <v>1.105007265554538</v>
      </c>
      <c r="J27" s="187">
        <f t="shared" si="2"/>
        <v>4586.8851593168874</v>
      </c>
      <c r="K27" s="194">
        <f t="shared" si="6"/>
        <v>4304.1520818565969</v>
      </c>
      <c r="L27" s="193">
        <f t="shared" si="3"/>
        <v>282.73307746029059</v>
      </c>
      <c r="M27" s="190">
        <f t="shared" si="7"/>
        <v>15.439232850170844</v>
      </c>
      <c r="N27" s="191">
        <f t="shared" si="8"/>
        <v>298.17231031046146</v>
      </c>
      <c r="O27" s="190">
        <v>0</v>
      </c>
      <c r="P27" s="190">
        <v>0</v>
      </c>
      <c r="Q27" s="190">
        <v>0</v>
      </c>
      <c r="R27" s="191">
        <f t="shared" si="9"/>
        <v>298.17231031046146</v>
      </c>
    </row>
    <row r="28" spans="1:18" x14ac:dyDescent="0.2">
      <c r="A28" s="148">
        <v>9</v>
      </c>
      <c r="B28" s="183">
        <f t="shared" si="4"/>
        <v>44805</v>
      </c>
      <c r="C28" s="243">
        <v>44839</v>
      </c>
      <c r="D28" s="243">
        <v>44859</v>
      </c>
      <c r="E28" s="54" t="s">
        <v>21</v>
      </c>
      <c r="F28" s="148">
        <v>9</v>
      </c>
      <c r="G28" s="185">
        <v>3898</v>
      </c>
      <c r="H28" s="186">
        <f t="shared" si="5"/>
        <v>1.0368952256941935</v>
      </c>
      <c r="I28" s="186">
        <f t="shared" si="1"/>
        <v>1.105007265554538</v>
      </c>
      <c r="J28" s="187">
        <f t="shared" si="2"/>
        <v>4307.3183211315891</v>
      </c>
      <c r="K28" s="194">
        <f t="shared" si="6"/>
        <v>4041.8175897559663</v>
      </c>
      <c r="L28" s="193">
        <f t="shared" si="3"/>
        <v>265.50073137562276</v>
      </c>
      <c r="M28" s="190">
        <f t="shared" si="7"/>
        <v>14.498224439885801</v>
      </c>
      <c r="N28" s="191">
        <f t="shared" si="8"/>
        <v>279.99895581550857</v>
      </c>
      <c r="O28" s="190">
        <v>0</v>
      </c>
      <c r="P28" s="190">
        <v>0</v>
      </c>
      <c r="Q28" s="190">
        <v>0</v>
      </c>
      <c r="R28" s="191">
        <f t="shared" si="9"/>
        <v>279.99895581550857</v>
      </c>
    </row>
    <row r="29" spans="1:18" x14ac:dyDescent="0.2">
      <c r="A29" s="112">
        <v>10</v>
      </c>
      <c r="B29" s="183">
        <f t="shared" si="4"/>
        <v>44835</v>
      </c>
      <c r="C29" s="243">
        <v>44868</v>
      </c>
      <c r="D29" s="243">
        <v>44888</v>
      </c>
      <c r="E29" s="54" t="s">
        <v>21</v>
      </c>
      <c r="F29" s="148">
        <v>9</v>
      </c>
      <c r="G29" s="185">
        <v>2760</v>
      </c>
      <c r="H29" s="186">
        <f t="shared" si="5"/>
        <v>1.0368952256941935</v>
      </c>
      <c r="I29" s="186">
        <f t="shared" si="1"/>
        <v>1.105007265554538</v>
      </c>
      <c r="J29" s="187">
        <f t="shared" si="2"/>
        <v>3049.820052930525</v>
      </c>
      <c r="K29" s="194">
        <f t="shared" si="6"/>
        <v>2861.8308229159738</v>
      </c>
      <c r="L29" s="193">
        <f t="shared" si="3"/>
        <v>187.98923001455114</v>
      </c>
      <c r="M29" s="190">
        <f t="shared" si="7"/>
        <v>10.265546294018678</v>
      </c>
      <c r="N29" s="191">
        <f t="shared" si="8"/>
        <v>198.25477630856983</v>
      </c>
      <c r="O29" s="190">
        <v>0</v>
      </c>
      <c r="P29" s="190">
        <v>0</v>
      </c>
      <c r="Q29" s="190">
        <v>0</v>
      </c>
      <c r="R29" s="191">
        <f t="shared" si="9"/>
        <v>198.25477630856983</v>
      </c>
    </row>
    <row r="30" spans="1:18" x14ac:dyDescent="0.2">
      <c r="A30" s="148">
        <v>11</v>
      </c>
      <c r="B30" s="183">
        <f t="shared" si="4"/>
        <v>44866</v>
      </c>
      <c r="C30" s="243">
        <v>44900</v>
      </c>
      <c r="D30" s="243">
        <v>44918</v>
      </c>
      <c r="E30" s="54" t="s">
        <v>21</v>
      </c>
      <c r="F30" s="148">
        <v>9</v>
      </c>
      <c r="G30" s="185">
        <v>2561</v>
      </c>
      <c r="H30" s="186">
        <f t="shared" si="5"/>
        <v>1.0368952256941935</v>
      </c>
      <c r="I30" s="186">
        <f t="shared" si="1"/>
        <v>1.105007265554538</v>
      </c>
      <c r="J30" s="187">
        <f t="shared" si="2"/>
        <v>2829.9236070851716</v>
      </c>
      <c r="K30" s="194">
        <f t="shared" si="6"/>
        <v>2655.4886730028293</v>
      </c>
      <c r="L30" s="193">
        <f t="shared" si="3"/>
        <v>174.43493408234235</v>
      </c>
      <c r="M30" s="190">
        <f t="shared" si="7"/>
        <v>9.5253855286166065</v>
      </c>
      <c r="N30" s="191">
        <f t="shared" si="8"/>
        <v>183.96031961095895</v>
      </c>
      <c r="O30" s="190">
        <v>0</v>
      </c>
      <c r="P30" s="190">
        <v>0</v>
      </c>
      <c r="Q30" s="190">
        <v>0</v>
      </c>
      <c r="R30" s="191">
        <f t="shared" si="9"/>
        <v>183.96031961095895</v>
      </c>
    </row>
    <row r="31" spans="1:18" x14ac:dyDescent="0.2">
      <c r="A31" s="148">
        <v>12</v>
      </c>
      <c r="B31" s="183">
        <f t="shared" si="4"/>
        <v>44896</v>
      </c>
      <c r="C31" s="244">
        <v>44930</v>
      </c>
      <c r="D31" s="245">
        <v>44950</v>
      </c>
      <c r="E31" s="54" t="s">
        <v>21</v>
      </c>
      <c r="F31" s="148">
        <v>9</v>
      </c>
      <c r="G31" s="185">
        <v>3150</v>
      </c>
      <c r="H31" s="195">
        <f t="shared" si="5"/>
        <v>1.0368952256941935</v>
      </c>
      <c r="I31" s="195">
        <f t="shared" si="1"/>
        <v>1.105007265554538</v>
      </c>
      <c r="J31" s="196">
        <f t="shared" si="2"/>
        <v>3480.7728864967949</v>
      </c>
      <c r="K31" s="197">
        <f t="shared" si="6"/>
        <v>3266.2199609367094</v>
      </c>
      <c r="L31" s="198">
        <f t="shared" si="3"/>
        <v>214.55292556008544</v>
      </c>
      <c r="M31" s="190">
        <f t="shared" si="7"/>
        <v>11.716112618173492</v>
      </c>
      <c r="N31" s="191">
        <f t="shared" si="8"/>
        <v>226.26903817825894</v>
      </c>
      <c r="O31" s="190">
        <v>0</v>
      </c>
      <c r="P31" s="190">
        <v>0</v>
      </c>
      <c r="Q31" s="190">
        <v>0</v>
      </c>
      <c r="R31" s="191">
        <f t="shared" si="9"/>
        <v>226.26903817825894</v>
      </c>
    </row>
    <row r="32" spans="1:18" x14ac:dyDescent="0.2">
      <c r="A32" s="112">
        <v>1</v>
      </c>
      <c r="B32" s="199">
        <f t="shared" si="4"/>
        <v>44562</v>
      </c>
      <c r="C32" s="200">
        <f t="shared" ref="C32:D43" si="10">+C20</f>
        <v>44595</v>
      </c>
      <c r="D32" s="200">
        <f t="shared" si="10"/>
        <v>44615</v>
      </c>
      <c r="E32" s="201" t="s">
        <v>22</v>
      </c>
      <c r="F32" s="202">
        <v>9</v>
      </c>
      <c r="G32" s="185">
        <v>2921</v>
      </c>
      <c r="H32" s="186">
        <f t="shared" si="5"/>
        <v>1.0368952256941935</v>
      </c>
      <c r="I32" s="186">
        <f t="shared" si="1"/>
        <v>1.105007265554538</v>
      </c>
      <c r="J32" s="187">
        <f t="shared" si="2"/>
        <v>3227.7262226848056</v>
      </c>
      <c r="K32" s="188">
        <f t="shared" si="6"/>
        <v>3028.7709542527391</v>
      </c>
      <c r="L32" s="189">
        <f t="shared" si="3"/>
        <v>198.95526843206653</v>
      </c>
      <c r="M32" s="190">
        <f t="shared" si="7"/>
        <v>10.864369827836434</v>
      </c>
      <c r="N32" s="191">
        <f t="shared" si="8"/>
        <v>209.81963825990297</v>
      </c>
      <c r="O32" s="190">
        <v>0</v>
      </c>
      <c r="P32" s="190">
        <v>0</v>
      </c>
      <c r="Q32" s="190">
        <v>0</v>
      </c>
      <c r="R32" s="191">
        <f t="shared" si="9"/>
        <v>209.81963825990297</v>
      </c>
    </row>
    <row r="33" spans="1:18" x14ac:dyDescent="0.2">
      <c r="A33" s="148">
        <v>2</v>
      </c>
      <c r="B33" s="183">
        <f t="shared" si="4"/>
        <v>44593</v>
      </c>
      <c r="C33" s="203">
        <f t="shared" si="10"/>
        <v>44623</v>
      </c>
      <c r="D33" s="203">
        <f t="shared" si="10"/>
        <v>44642</v>
      </c>
      <c r="E33" s="192" t="s">
        <v>22</v>
      </c>
      <c r="F33" s="148">
        <v>9</v>
      </c>
      <c r="G33" s="185">
        <v>2853</v>
      </c>
      <c r="H33" s="186">
        <f t="shared" si="5"/>
        <v>1.0368952256941935</v>
      </c>
      <c r="I33" s="186">
        <f t="shared" si="1"/>
        <v>1.105007265554538</v>
      </c>
      <c r="J33" s="187">
        <f t="shared" si="2"/>
        <v>3152.5857286270971</v>
      </c>
      <c r="K33" s="188">
        <f t="shared" si="6"/>
        <v>2958.2620789055341</v>
      </c>
      <c r="L33" s="189">
        <f t="shared" si="3"/>
        <v>194.32364972156302</v>
      </c>
      <c r="M33" s="190">
        <f t="shared" si="7"/>
        <v>10.611450571317135</v>
      </c>
      <c r="N33" s="191">
        <f t="shared" si="8"/>
        <v>204.93510029288015</v>
      </c>
      <c r="O33" s="190">
        <v>0</v>
      </c>
      <c r="P33" s="190">
        <v>0</v>
      </c>
      <c r="Q33" s="190">
        <v>0</v>
      </c>
      <c r="R33" s="191">
        <f t="shared" si="9"/>
        <v>204.93510029288015</v>
      </c>
    </row>
    <row r="34" spans="1:18" x14ac:dyDescent="0.2">
      <c r="A34" s="148">
        <v>3</v>
      </c>
      <c r="B34" s="183">
        <f t="shared" si="4"/>
        <v>44621</v>
      </c>
      <c r="C34" s="203">
        <f t="shared" si="10"/>
        <v>44656</v>
      </c>
      <c r="D34" s="203">
        <f t="shared" si="10"/>
        <v>44676</v>
      </c>
      <c r="E34" s="192" t="s">
        <v>22</v>
      </c>
      <c r="F34" s="148">
        <v>9</v>
      </c>
      <c r="G34" s="185">
        <v>2560</v>
      </c>
      <c r="H34" s="186">
        <f t="shared" si="5"/>
        <v>1.0368952256941935</v>
      </c>
      <c r="I34" s="186">
        <f t="shared" si="1"/>
        <v>1.105007265554538</v>
      </c>
      <c r="J34" s="187">
        <f t="shared" si="2"/>
        <v>2828.8185998196172</v>
      </c>
      <c r="K34" s="188">
        <f t="shared" ref="K34:K93" si="11">+$G34*H34</f>
        <v>2654.4517777771352</v>
      </c>
      <c r="L34" s="189">
        <f t="shared" si="3"/>
        <v>174.366822042482</v>
      </c>
      <c r="M34" s="190">
        <f t="shared" si="7"/>
        <v>9.5216661277854406</v>
      </c>
      <c r="N34" s="191">
        <f t="shared" si="8"/>
        <v>183.88848817026744</v>
      </c>
      <c r="O34" s="190">
        <v>0</v>
      </c>
      <c r="P34" s="190">
        <v>0</v>
      </c>
      <c r="Q34" s="190">
        <v>0</v>
      </c>
      <c r="R34" s="191">
        <f t="shared" si="9"/>
        <v>183.88848817026744</v>
      </c>
    </row>
    <row r="35" spans="1:18" x14ac:dyDescent="0.2">
      <c r="A35" s="112">
        <v>4</v>
      </c>
      <c r="B35" s="183">
        <f t="shared" si="4"/>
        <v>44652</v>
      </c>
      <c r="C35" s="203">
        <f t="shared" si="10"/>
        <v>44685</v>
      </c>
      <c r="D35" s="203">
        <f t="shared" si="10"/>
        <v>44705</v>
      </c>
      <c r="E35" s="192" t="s">
        <v>22</v>
      </c>
      <c r="F35" s="148">
        <v>9</v>
      </c>
      <c r="G35" s="185">
        <v>2434</v>
      </c>
      <c r="H35" s="186">
        <f t="shared" si="5"/>
        <v>1.0368952256941935</v>
      </c>
      <c r="I35" s="186">
        <f t="shared" si="1"/>
        <v>1.105007265554538</v>
      </c>
      <c r="J35" s="187">
        <f t="shared" si="2"/>
        <v>2689.5876843597453</v>
      </c>
      <c r="K35" s="188">
        <f t="shared" si="11"/>
        <v>2523.8029793396668</v>
      </c>
      <c r="L35" s="189">
        <f t="shared" ref="L35:L57" si="12">+J35-K35</f>
        <v>165.78470502007849</v>
      </c>
      <c r="M35" s="190">
        <f t="shared" si="7"/>
        <v>9.0530216230585019</v>
      </c>
      <c r="N35" s="191">
        <f t="shared" si="8"/>
        <v>174.83772664313699</v>
      </c>
      <c r="O35" s="190">
        <v>0</v>
      </c>
      <c r="P35" s="190">
        <v>0</v>
      </c>
      <c r="Q35" s="190">
        <v>0</v>
      </c>
      <c r="R35" s="191">
        <f t="shared" si="9"/>
        <v>174.83772664313699</v>
      </c>
    </row>
    <row r="36" spans="1:18" x14ac:dyDescent="0.2">
      <c r="A36" s="148">
        <v>5</v>
      </c>
      <c r="B36" s="183">
        <f t="shared" si="4"/>
        <v>44682</v>
      </c>
      <c r="C36" s="203">
        <f t="shared" si="10"/>
        <v>44715</v>
      </c>
      <c r="D36" s="203">
        <f t="shared" si="10"/>
        <v>44735</v>
      </c>
      <c r="E36" s="54" t="s">
        <v>22</v>
      </c>
      <c r="F36" s="148">
        <v>9</v>
      </c>
      <c r="G36" s="185">
        <v>3117</v>
      </c>
      <c r="H36" s="186">
        <f t="shared" si="5"/>
        <v>1.0368952256941935</v>
      </c>
      <c r="I36" s="186">
        <f t="shared" si="1"/>
        <v>1.105007265554538</v>
      </c>
      <c r="J36" s="187">
        <f t="shared" si="2"/>
        <v>3444.3076467334949</v>
      </c>
      <c r="K36" s="188">
        <f t="shared" si="11"/>
        <v>3232.0024184888011</v>
      </c>
      <c r="L36" s="189">
        <f t="shared" si="12"/>
        <v>212.30522824469381</v>
      </c>
      <c r="M36" s="190">
        <f t="shared" si="7"/>
        <v>11.593372390745008</v>
      </c>
      <c r="N36" s="191">
        <f t="shared" si="8"/>
        <v>223.89860063543881</v>
      </c>
      <c r="O36" s="190">
        <v>0</v>
      </c>
      <c r="P36" s="190">
        <v>0</v>
      </c>
      <c r="Q36" s="190">
        <v>0</v>
      </c>
      <c r="R36" s="191">
        <f t="shared" si="9"/>
        <v>223.89860063543881</v>
      </c>
    </row>
    <row r="37" spans="1:18" x14ac:dyDescent="0.2">
      <c r="A37" s="148">
        <v>6</v>
      </c>
      <c r="B37" s="183">
        <f t="shared" si="4"/>
        <v>44713</v>
      </c>
      <c r="C37" s="203">
        <f t="shared" si="10"/>
        <v>44747</v>
      </c>
      <c r="D37" s="203">
        <f t="shared" si="10"/>
        <v>44767</v>
      </c>
      <c r="E37" s="54" t="s">
        <v>22</v>
      </c>
      <c r="F37" s="148">
        <v>9</v>
      </c>
      <c r="G37" s="185">
        <v>3536</v>
      </c>
      <c r="H37" s="186">
        <f t="shared" si="5"/>
        <v>1.0368952256941935</v>
      </c>
      <c r="I37" s="186">
        <f t="shared" si="1"/>
        <v>1.105007265554538</v>
      </c>
      <c r="J37" s="187">
        <f t="shared" si="2"/>
        <v>3907.3056910008463</v>
      </c>
      <c r="K37" s="188">
        <f t="shared" si="11"/>
        <v>3666.461518054668</v>
      </c>
      <c r="L37" s="193">
        <f t="shared" si="12"/>
        <v>240.84417294617833</v>
      </c>
      <c r="M37" s="190">
        <f t="shared" si="7"/>
        <v>13.151801339003642</v>
      </c>
      <c r="N37" s="191">
        <f t="shared" si="8"/>
        <v>253.99597428518197</v>
      </c>
      <c r="O37" s="190">
        <v>0</v>
      </c>
      <c r="P37" s="190">
        <v>0</v>
      </c>
      <c r="Q37" s="190">
        <v>0</v>
      </c>
      <c r="R37" s="191">
        <f t="shared" si="9"/>
        <v>253.99597428518197</v>
      </c>
    </row>
    <row r="38" spans="1:18" x14ac:dyDescent="0.2">
      <c r="A38" s="112">
        <v>7</v>
      </c>
      <c r="B38" s="183">
        <f t="shared" si="4"/>
        <v>44743</v>
      </c>
      <c r="C38" s="203">
        <f t="shared" si="10"/>
        <v>44776</v>
      </c>
      <c r="D38" s="203">
        <f t="shared" si="10"/>
        <v>44796</v>
      </c>
      <c r="E38" s="54" t="s">
        <v>22</v>
      </c>
      <c r="F38" s="148">
        <v>9</v>
      </c>
      <c r="G38" s="185">
        <v>3696</v>
      </c>
      <c r="H38" s="186">
        <f t="shared" si="5"/>
        <v>1.0368952256941935</v>
      </c>
      <c r="I38" s="186">
        <f t="shared" si="1"/>
        <v>1.105007265554538</v>
      </c>
      <c r="J38" s="187">
        <f t="shared" si="2"/>
        <v>4084.1068534895726</v>
      </c>
      <c r="K38" s="194">
        <f t="shared" si="11"/>
        <v>3832.3647541657392</v>
      </c>
      <c r="L38" s="193">
        <f t="shared" si="12"/>
        <v>251.74209932383337</v>
      </c>
      <c r="M38" s="190">
        <f t="shared" si="7"/>
        <v>13.746905471990232</v>
      </c>
      <c r="N38" s="191">
        <f t="shared" si="8"/>
        <v>265.48900479582358</v>
      </c>
      <c r="O38" s="190">
        <v>0</v>
      </c>
      <c r="P38" s="190">
        <v>0</v>
      </c>
      <c r="Q38" s="190">
        <v>0</v>
      </c>
      <c r="R38" s="191">
        <f t="shared" si="9"/>
        <v>265.48900479582358</v>
      </c>
    </row>
    <row r="39" spans="1:18" x14ac:dyDescent="0.2">
      <c r="A39" s="148">
        <v>8</v>
      </c>
      <c r="B39" s="183">
        <f t="shared" si="4"/>
        <v>44774</v>
      </c>
      <c r="C39" s="203">
        <f t="shared" si="10"/>
        <v>44809</v>
      </c>
      <c r="D39" s="203">
        <f t="shared" si="10"/>
        <v>44827</v>
      </c>
      <c r="E39" s="54" t="s">
        <v>22</v>
      </c>
      <c r="F39" s="148">
        <v>9</v>
      </c>
      <c r="G39" s="185">
        <v>3632</v>
      </c>
      <c r="H39" s="186">
        <f t="shared" si="5"/>
        <v>1.0368952256941935</v>
      </c>
      <c r="I39" s="186">
        <f t="shared" si="1"/>
        <v>1.105007265554538</v>
      </c>
      <c r="J39" s="187">
        <f t="shared" si="2"/>
        <v>4013.386388494082</v>
      </c>
      <c r="K39" s="194">
        <f t="shared" si="11"/>
        <v>3766.0034597213107</v>
      </c>
      <c r="L39" s="193">
        <f t="shared" si="12"/>
        <v>247.38292877277127</v>
      </c>
      <c r="M39" s="190">
        <f t="shared" si="7"/>
        <v>13.508863818795595</v>
      </c>
      <c r="N39" s="191">
        <f t="shared" si="8"/>
        <v>260.89179259156685</v>
      </c>
      <c r="O39" s="190">
        <v>0</v>
      </c>
      <c r="P39" s="190">
        <v>0</v>
      </c>
      <c r="Q39" s="190">
        <v>0</v>
      </c>
      <c r="R39" s="191">
        <f t="shared" si="9"/>
        <v>260.89179259156685</v>
      </c>
    </row>
    <row r="40" spans="1:18" x14ac:dyDescent="0.2">
      <c r="A40" s="148">
        <v>9</v>
      </c>
      <c r="B40" s="183">
        <f t="shared" si="4"/>
        <v>44805</v>
      </c>
      <c r="C40" s="203">
        <f t="shared" si="10"/>
        <v>44839</v>
      </c>
      <c r="D40" s="203">
        <f t="shared" si="10"/>
        <v>44859</v>
      </c>
      <c r="E40" s="54" t="s">
        <v>22</v>
      </c>
      <c r="F40" s="148">
        <v>9</v>
      </c>
      <c r="G40" s="185">
        <v>3337</v>
      </c>
      <c r="H40" s="186">
        <f t="shared" si="5"/>
        <v>1.0368952256941935</v>
      </c>
      <c r="I40" s="186">
        <f t="shared" si="1"/>
        <v>1.105007265554538</v>
      </c>
      <c r="J40" s="187">
        <f t="shared" si="2"/>
        <v>3687.4092451554934</v>
      </c>
      <c r="K40" s="194">
        <f t="shared" si="11"/>
        <v>3460.1193681415234</v>
      </c>
      <c r="L40" s="193">
        <f t="shared" si="12"/>
        <v>227.28987701397</v>
      </c>
      <c r="M40" s="190">
        <f t="shared" si="7"/>
        <v>12.411640573601568</v>
      </c>
      <c r="N40" s="191">
        <f t="shared" si="8"/>
        <v>239.70151758757157</v>
      </c>
      <c r="O40" s="190">
        <v>0</v>
      </c>
      <c r="P40" s="190">
        <v>0</v>
      </c>
      <c r="Q40" s="190">
        <v>0</v>
      </c>
      <c r="R40" s="191">
        <f t="shared" si="9"/>
        <v>239.70151758757157</v>
      </c>
    </row>
    <row r="41" spans="1:18" x14ac:dyDescent="0.2">
      <c r="A41" s="112">
        <v>10</v>
      </c>
      <c r="B41" s="183">
        <f t="shared" si="4"/>
        <v>44835</v>
      </c>
      <c r="C41" s="203">
        <f t="shared" si="10"/>
        <v>44868</v>
      </c>
      <c r="D41" s="203">
        <f t="shared" si="10"/>
        <v>44888</v>
      </c>
      <c r="E41" s="54" t="s">
        <v>22</v>
      </c>
      <c r="F41" s="148">
        <v>9</v>
      </c>
      <c r="G41" s="185">
        <v>2496</v>
      </c>
      <c r="H41" s="186">
        <f t="shared" si="5"/>
        <v>1.0368952256941935</v>
      </c>
      <c r="I41" s="186">
        <f t="shared" si="1"/>
        <v>1.105007265554538</v>
      </c>
      <c r="J41" s="187">
        <f t="shared" si="2"/>
        <v>2758.0981348241266</v>
      </c>
      <c r="K41" s="194">
        <f t="shared" si="11"/>
        <v>2588.0904833327068</v>
      </c>
      <c r="L41" s="193">
        <f t="shared" si="12"/>
        <v>170.00765149141989</v>
      </c>
      <c r="M41" s="190">
        <f t="shared" si="7"/>
        <v>9.2836244745908054</v>
      </c>
      <c r="N41" s="191">
        <f t="shared" si="8"/>
        <v>179.29127596601069</v>
      </c>
      <c r="O41" s="190">
        <v>0</v>
      </c>
      <c r="P41" s="190">
        <v>0</v>
      </c>
      <c r="Q41" s="190">
        <v>0</v>
      </c>
      <c r="R41" s="191">
        <f t="shared" si="9"/>
        <v>179.29127596601069</v>
      </c>
    </row>
    <row r="42" spans="1:18" x14ac:dyDescent="0.2">
      <c r="A42" s="148">
        <v>11</v>
      </c>
      <c r="B42" s="183">
        <f t="shared" si="4"/>
        <v>44866</v>
      </c>
      <c r="C42" s="203">
        <f t="shared" si="10"/>
        <v>44900</v>
      </c>
      <c r="D42" s="203">
        <f t="shared" si="10"/>
        <v>44918</v>
      </c>
      <c r="E42" s="54" t="s">
        <v>22</v>
      </c>
      <c r="F42" s="148">
        <v>9</v>
      </c>
      <c r="G42" s="185">
        <v>2518</v>
      </c>
      <c r="H42" s="186">
        <f t="shared" si="5"/>
        <v>1.0368952256941935</v>
      </c>
      <c r="I42" s="186">
        <f t="shared" si="1"/>
        <v>1.105007265554538</v>
      </c>
      <c r="J42" s="187">
        <f t="shared" si="2"/>
        <v>2782.4082946663266</v>
      </c>
      <c r="K42" s="194">
        <f t="shared" si="11"/>
        <v>2610.9021782979789</v>
      </c>
      <c r="L42" s="193">
        <f t="shared" si="12"/>
        <v>171.50611636834765</v>
      </c>
      <c r="M42" s="190">
        <f t="shared" si="7"/>
        <v>9.3654512928764611</v>
      </c>
      <c r="N42" s="191">
        <f t="shared" si="8"/>
        <v>180.87156766122411</v>
      </c>
      <c r="O42" s="190">
        <v>0</v>
      </c>
      <c r="P42" s="190">
        <v>0</v>
      </c>
      <c r="Q42" s="190">
        <v>0</v>
      </c>
      <c r="R42" s="191">
        <f t="shared" si="9"/>
        <v>180.87156766122411</v>
      </c>
    </row>
    <row r="43" spans="1:18" x14ac:dyDescent="0.2">
      <c r="A43" s="148">
        <v>12</v>
      </c>
      <c r="B43" s="183">
        <f t="shared" si="4"/>
        <v>44896</v>
      </c>
      <c r="C43" s="203">
        <f t="shared" si="10"/>
        <v>44930</v>
      </c>
      <c r="D43" s="203">
        <f t="shared" si="10"/>
        <v>44950</v>
      </c>
      <c r="E43" s="54" t="s">
        <v>22</v>
      </c>
      <c r="F43" s="148">
        <v>9</v>
      </c>
      <c r="G43" s="185">
        <v>3399</v>
      </c>
      <c r="H43" s="195">
        <f t="shared" si="5"/>
        <v>1.0368952256941935</v>
      </c>
      <c r="I43" s="195">
        <f t="shared" si="1"/>
        <v>1.105007265554538</v>
      </c>
      <c r="J43" s="196">
        <f t="shared" si="2"/>
        <v>3755.9196956198748</v>
      </c>
      <c r="K43" s="197">
        <f t="shared" si="11"/>
        <v>3524.4068721345634</v>
      </c>
      <c r="L43" s="198">
        <f t="shared" si="12"/>
        <v>231.5128234853114</v>
      </c>
      <c r="M43" s="190">
        <f t="shared" si="7"/>
        <v>12.642243425133872</v>
      </c>
      <c r="N43" s="191">
        <f t="shared" si="8"/>
        <v>244.15506691044527</v>
      </c>
      <c r="O43" s="190">
        <v>0</v>
      </c>
      <c r="P43" s="190">
        <v>0</v>
      </c>
      <c r="Q43" s="190">
        <v>0</v>
      </c>
      <c r="R43" s="191">
        <f t="shared" si="9"/>
        <v>244.15506691044527</v>
      </c>
    </row>
    <row r="44" spans="1:18" x14ac:dyDescent="0.2">
      <c r="A44" s="112">
        <v>1</v>
      </c>
      <c r="B44" s="199">
        <f t="shared" ref="B44:B55" si="13">DATE($R$1,A44,1)</f>
        <v>44562</v>
      </c>
      <c r="C44" s="200">
        <f t="shared" ref="C44:D55" si="14">+C32</f>
        <v>44595</v>
      </c>
      <c r="D44" s="200">
        <f t="shared" si="14"/>
        <v>44615</v>
      </c>
      <c r="E44" s="201" t="s">
        <v>83</v>
      </c>
      <c r="F44" s="202">
        <v>9</v>
      </c>
      <c r="G44" s="185">
        <v>163</v>
      </c>
      <c r="H44" s="186">
        <f t="shared" si="5"/>
        <v>1.0368952256941935</v>
      </c>
      <c r="I44" s="186">
        <f t="shared" si="1"/>
        <v>1.105007265554538</v>
      </c>
      <c r="J44" s="190">
        <f t="shared" ref="J44:J55" si="15">+$G44*I44</f>
        <v>180.11618428538969</v>
      </c>
      <c r="K44" s="194">
        <f t="shared" ref="K44:K55" si="16">+$G44*H44</f>
        <v>169.01392178815354</v>
      </c>
      <c r="L44" s="193">
        <f t="shared" ref="L44:L55" si="17">+J44-K44</f>
        <v>11.102262497236154</v>
      </c>
      <c r="M44" s="190">
        <f t="shared" si="7"/>
        <v>0.60626233548008868</v>
      </c>
      <c r="N44" s="191">
        <f t="shared" si="8"/>
        <v>11.708524832716243</v>
      </c>
      <c r="O44" s="190">
        <v>0</v>
      </c>
      <c r="P44" s="190">
        <v>0</v>
      </c>
      <c r="Q44" s="190">
        <v>0</v>
      </c>
      <c r="R44" s="191">
        <f t="shared" si="9"/>
        <v>11.708524832716243</v>
      </c>
    </row>
    <row r="45" spans="1:18" x14ac:dyDescent="0.2">
      <c r="A45" s="148">
        <v>2</v>
      </c>
      <c r="B45" s="183">
        <f t="shared" si="13"/>
        <v>44593</v>
      </c>
      <c r="C45" s="203">
        <f t="shared" si="14"/>
        <v>44623</v>
      </c>
      <c r="D45" s="203">
        <f t="shared" si="14"/>
        <v>44642</v>
      </c>
      <c r="E45" s="192" t="s">
        <v>83</v>
      </c>
      <c r="F45" s="148">
        <v>9</v>
      </c>
      <c r="G45" s="185">
        <v>155</v>
      </c>
      <c r="H45" s="186">
        <f t="shared" si="5"/>
        <v>1.0368952256941935</v>
      </c>
      <c r="I45" s="186">
        <f t="shared" si="1"/>
        <v>1.105007265554538</v>
      </c>
      <c r="J45" s="190">
        <f t="shared" si="15"/>
        <v>171.2761261609534</v>
      </c>
      <c r="K45" s="194">
        <f t="shared" si="16"/>
        <v>160.71875998259998</v>
      </c>
      <c r="L45" s="193">
        <f t="shared" si="17"/>
        <v>10.557366178353419</v>
      </c>
      <c r="M45" s="190">
        <f t="shared" si="7"/>
        <v>0.57650712883075916</v>
      </c>
      <c r="N45" s="191">
        <f t="shared" si="8"/>
        <v>11.133873307184178</v>
      </c>
      <c r="O45" s="190">
        <v>0</v>
      </c>
      <c r="P45" s="190">
        <v>0</v>
      </c>
      <c r="Q45" s="190">
        <v>0</v>
      </c>
      <c r="R45" s="191">
        <f t="shared" si="9"/>
        <v>11.133873307184178</v>
      </c>
    </row>
    <row r="46" spans="1:18" x14ac:dyDescent="0.2">
      <c r="A46" s="148">
        <v>3</v>
      </c>
      <c r="B46" s="183">
        <f t="shared" si="13"/>
        <v>44621</v>
      </c>
      <c r="C46" s="203">
        <f t="shared" si="14"/>
        <v>44656</v>
      </c>
      <c r="D46" s="203">
        <f t="shared" si="14"/>
        <v>44676</v>
      </c>
      <c r="E46" s="192" t="s">
        <v>83</v>
      </c>
      <c r="F46" s="148">
        <v>9</v>
      </c>
      <c r="G46" s="185">
        <v>141</v>
      </c>
      <c r="H46" s="186">
        <f t="shared" si="5"/>
        <v>1.0368952256941935</v>
      </c>
      <c r="I46" s="186">
        <f t="shared" si="1"/>
        <v>1.105007265554538</v>
      </c>
      <c r="J46" s="190">
        <f t="shared" si="15"/>
        <v>155.80602444318987</v>
      </c>
      <c r="K46" s="194">
        <f t="shared" si="16"/>
        <v>146.20222682288127</v>
      </c>
      <c r="L46" s="193">
        <f t="shared" si="17"/>
        <v>9.6037976203085975</v>
      </c>
      <c r="M46" s="190">
        <f t="shared" si="7"/>
        <v>0.52443551719443249</v>
      </c>
      <c r="N46" s="191">
        <f t="shared" si="8"/>
        <v>10.128233137503029</v>
      </c>
      <c r="O46" s="190">
        <v>0</v>
      </c>
      <c r="P46" s="190">
        <v>0</v>
      </c>
      <c r="Q46" s="190">
        <v>0</v>
      </c>
      <c r="R46" s="191">
        <f t="shared" si="9"/>
        <v>10.128233137503029</v>
      </c>
    </row>
    <row r="47" spans="1:18" x14ac:dyDescent="0.2">
      <c r="A47" s="112">
        <v>4</v>
      </c>
      <c r="B47" s="183">
        <f t="shared" si="13"/>
        <v>44652</v>
      </c>
      <c r="C47" s="203">
        <f t="shared" si="14"/>
        <v>44685</v>
      </c>
      <c r="D47" s="203">
        <f t="shared" si="14"/>
        <v>44705</v>
      </c>
      <c r="E47" s="192" t="s">
        <v>83</v>
      </c>
      <c r="F47" s="148">
        <v>9</v>
      </c>
      <c r="G47" s="185">
        <v>92</v>
      </c>
      <c r="H47" s="186">
        <f t="shared" si="5"/>
        <v>1.0368952256941935</v>
      </c>
      <c r="I47" s="186">
        <f t="shared" si="1"/>
        <v>1.105007265554538</v>
      </c>
      <c r="J47" s="190">
        <f t="shared" si="15"/>
        <v>101.6606684310175</v>
      </c>
      <c r="K47" s="194">
        <f t="shared" si="16"/>
        <v>95.394360763865791</v>
      </c>
      <c r="L47" s="193">
        <f t="shared" si="17"/>
        <v>6.2663076671517075</v>
      </c>
      <c r="M47" s="190">
        <f t="shared" si="7"/>
        <v>0.34218487646728929</v>
      </c>
      <c r="N47" s="191">
        <f t="shared" si="8"/>
        <v>6.608492543618997</v>
      </c>
      <c r="O47" s="190">
        <v>0</v>
      </c>
      <c r="P47" s="190">
        <v>0</v>
      </c>
      <c r="Q47" s="190">
        <v>0</v>
      </c>
      <c r="R47" s="191">
        <f t="shared" si="9"/>
        <v>6.608492543618997</v>
      </c>
    </row>
    <row r="48" spans="1:18" x14ac:dyDescent="0.2">
      <c r="A48" s="148">
        <v>5</v>
      </c>
      <c r="B48" s="183">
        <f t="shared" si="13"/>
        <v>44682</v>
      </c>
      <c r="C48" s="203">
        <f t="shared" si="14"/>
        <v>44715</v>
      </c>
      <c r="D48" s="203">
        <f t="shared" si="14"/>
        <v>44735</v>
      </c>
      <c r="E48" s="192" t="s">
        <v>83</v>
      </c>
      <c r="F48" s="148">
        <v>9</v>
      </c>
      <c r="G48" s="185">
        <v>131</v>
      </c>
      <c r="H48" s="186">
        <f t="shared" si="5"/>
        <v>1.0368952256941935</v>
      </c>
      <c r="I48" s="186">
        <f t="shared" si="1"/>
        <v>1.105007265554538</v>
      </c>
      <c r="J48" s="190">
        <f t="shared" si="15"/>
        <v>144.75595178764448</v>
      </c>
      <c r="K48" s="194">
        <f t="shared" si="16"/>
        <v>135.83327456593935</v>
      </c>
      <c r="L48" s="193">
        <f t="shared" si="17"/>
        <v>8.9226772217051291</v>
      </c>
      <c r="M48" s="190">
        <f t="shared" si="7"/>
        <v>0.48724150888277062</v>
      </c>
      <c r="N48" s="191">
        <f t="shared" si="8"/>
        <v>9.4099187305879006</v>
      </c>
      <c r="O48" s="190">
        <v>0</v>
      </c>
      <c r="P48" s="190">
        <v>0</v>
      </c>
      <c r="Q48" s="190">
        <v>0</v>
      </c>
      <c r="R48" s="191">
        <f t="shared" si="9"/>
        <v>9.4099187305879006</v>
      </c>
    </row>
    <row r="49" spans="1:18" x14ac:dyDescent="0.2">
      <c r="A49" s="148">
        <v>6</v>
      </c>
      <c r="B49" s="183">
        <f t="shared" si="13"/>
        <v>44713</v>
      </c>
      <c r="C49" s="203">
        <f t="shared" si="14"/>
        <v>44747</v>
      </c>
      <c r="D49" s="203">
        <f t="shared" si="14"/>
        <v>44767</v>
      </c>
      <c r="E49" s="192" t="s">
        <v>83</v>
      </c>
      <c r="F49" s="148">
        <v>9</v>
      </c>
      <c r="G49" s="185">
        <v>152</v>
      </c>
      <c r="H49" s="186">
        <f t="shared" si="5"/>
        <v>1.0368952256941935</v>
      </c>
      <c r="I49" s="186">
        <f t="shared" si="1"/>
        <v>1.105007265554538</v>
      </c>
      <c r="J49" s="190">
        <f t="shared" si="15"/>
        <v>167.96110436428978</v>
      </c>
      <c r="K49" s="194">
        <f t="shared" si="16"/>
        <v>157.60807430551739</v>
      </c>
      <c r="L49" s="193">
        <f t="shared" si="17"/>
        <v>10.35303005877239</v>
      </c>
      <c r="M49" s="190">
        <f t="shared" si="7"/>
        <v>0.56534892633726064</v>
      </c>
      <c r="N49" s="191">
        <f t="shared" si="8"/>
        <v>10.918378985109651</v>
      </c>
      <c r="O49" s="190">
        <v>0</v>
      </c>
      <c r="P49" s="190">
        <v>0</v>
      </c>
      <c r="Q49" s="190">
        <v>0</v>
      </c>
      <c r="R49" s="191">
        <f t="shared" si="9"/>
        <v>10.918378985109651</v>
      </c>
    </row>
    <row r="50" spans="1:18" x14ac:dyDescent="0.2">
      <c r="A50" s="112">
        <v>7</v>
      </c>
      <c r="B50" s="183">
        <f t="shared" si="13"/>
        <v>44743</v>
      </c>
      <c r="C50" s="203">
        <f t="shared" si="14"/>
        <v>44776</v>
      </c>
      <c r="D50" s="203">
        <f t="shared" si="14"/>
        <v>44796</v>
      </c>
      <c r="E50" s="192" t="s">
        <v>83</v>
      </c>
      <c r="F50" s="148">
        <v>9</v>
      </c>
      <c r="G50" s="185">
        <v>149</v>
      </c>
      <c r="H50" s="186">
        <f t="shared" si="5"/>
        <v>1.0368952256941935</v>
      </c>
      <c r="I50" s="186">
        <f t="shared" si="1"/>
        <v>1.105007265554538</v>
      </c>
      <c r="J50" s="190">
        <f t="shared" si="15"/>
        <v>164.64608256762617</v>
      </c>
      <c r="K50" s="194">
        <f t="shared" si="16"/>
        <v>154.49738862843483</v>
      </c>
      <c r="L50" s="193">
        <f t="shared" si="17"/>
        <v>10.148693939191332</v>
      </c>
      <c r="M50" s="190">
        <f t="shared" si="7"/>
        <v>0.554190723843762</v>
      </c>
      <c r="N50" s="191">
        <f t="shared" si="8"/>
        <v>10.702884663035094</v>
      </c>
      <c r="O50" s="190">
        <v>0</v>
      </c>
      <c r="P50" s="190">
        <v>0</v>
      </c>
      <c r="Q50" s="190">
        <v>0</v>
      </c>
      <c r="R50" s="191">
        <f t="shared" si="9"/>
        <v>10.702884663035094</v>
      </c>
    </row>
    <row r="51" spans="1:18" x14ac:dyDescent="0.2">
      <c r="A51" s="148">
        <v>8</v>
      </c>
      <c r="B51" s="183">
        <f t="shared" si="13"/>
        <v>44774</v>
      </c>
      <c r="C51" s="203">
        <f t="shared" si="14"/>
        <v>44809</v>
      </c>
      <c r="D51" s="203">
        <f t="shared" si="14"/>
        <v>44827</v>
      </c>
      <c r="E51" s="192" t="s">
        <v>83</v>
      </c>
      <c r="F51" s="148">
        <v>9</v>
      </c>
      <c r="G51" s="185">
        <v>137</v>
      </c>
      <c r="H51" s="186">
        <f t="shared" si="5"/>
        <v>1.0368952256941935</v>
      </c>
      <c r="I51" s="186">
        <f t="shared" si="1"/>
        <v>1.105007265554538</v>
      </c>
      <c r="J51" s="190">
        <f t="shared" si="15"/>
        <v>151.38599538097171</v>
      </c>
      <c r="K51" s="194">
        <f t="shared" si="16"/>
        <v>142.05464592010449</v>
      </c>
      <c r="L51" s="193">
        <f t="shared" si="17"/>
        <v>9.3313494608672158</v>
      </c>
      <c r="M51" s="190">
        <f t="shared" si="7"/>
        <v>0.50955791386976779</v>
      </c>
      <c r="N51" s="191">
        <f t="shared" si="8"/>
        <v>9.8409073747369842</v>
      </c>
      <c r="O51" s="190">
        <v>0</v>
      </c>
      <c r="P51" s="190">
        <v>0</v>
      </c>
      <c r="Q51" s="190">
        <v>0</v>
      </c>
      <c r="R51" s="191">
        <f t="shared" si="9"/>
        <v>9.8409073747369842</v>
      </c>
    </row>
    <row r="52" spans="1:18" x14ac:dyDescent="0.2">
      <c r="A52" s="148">
        <v>9</v>
      </c>
      <c r="B52" s="183">
        <f t="shared" si="13"/>
        <v>44805</v>
      </c>
      <c r="C52" s="203">
        <f t="shared" si="14"/>
        <v>44839</v>
      </c>
      <c r="D52" s="203">
        <f t="shared" si="14"/>
        <v>44859</v>
      </c>
      <c r="E52" s="192" t="s">
        <v>83</v>
      </c>
      <c r="F52" s="148">
        <v>9</v>
      </c>
      <c r="G52" s="185">
        <v>136</v>
      </c>
      <c r="H52" s="186">
        <f t="shared" si="5"/>
        <v>1.0368952256941935</v>
      </c>
      <c r="I52" s="186">
        <f t="shared" si="1"/>
        <v>1.105007265554538</v>
      </c>
      <c r="J52" s="190">
        <f t="shared" si="15"/>
        <v>150.28098811541716</v>
      </c>
      <c r="K52" s="194">
        <f t="shared" si="16"/>
        <v>141.01775069441032</v>
      </c>
      <c r="L52" s="193">
        <f t="shared" si="17"/>
        <v>9.2632374210068349</v>
      </c>
      <c r="M52" s="190">
        <f t="shared" si="7"/>
        <v>0.50583851303860161</v>
      </c>
      <c r="N52" s="191">
        <f t="shared" si="8"/>
        <v>9.7690759340454356</v>
      </c>
      <c r="O52" s="190">
        <v>0</v>
      </c>
      <c r="P52" s="190">
        <v>0</v>
      </c>
      <c r="Q52" s="190">
        <v>0</v>
      </c>
      <c r="R52" s="191">
        <f t="shared" si="9"/>
        <v>9.7690759340454356</v>
      </c>
    </row>
    <row r="53" spans="1:18" x14ac:dyDescent="0.2">
      <c r="A53" s="112">
        <v>10</v>
      </c>
      <c r="B53" s="183">
        <f t="shared" si="13"/>
        <v>44835</v>
      </c>
      <c r="C53" s="203">
        <f t="shared" si="14"/>
        <v>44868</v>
      </c>
      <c r="D53" s="203">
        <f t="shared" si="14"/>
        <v>44888</v>
      </c>
      <c r="E53" s="192" t="s">
        <v>83</v>
      </c>
      <c r="F53" s="148">
        <v>9</v>
      </c>
      <c r="G53" s="185">
        <v>91</v>
      </c>
      <c r="H53" s="186">
        <f t="shared" si="5"/>
        <v>1.0368952256941935</v>
      </c>
      <c r="I53" s="186">
        <f t="shared" si="1"/>
        <v>1.105007265554538</v>
      </c>
      <c r="J53" s="190">
        <f t="shared" si="15"/>
        <v>100.55566116546295</v>
      </c>
      <c r="K53" s="194">
        <f t="shared" si="16"/>
        <v>94.35746553817161</v>
      </c>
      <c r="L53" s="193">
        <f t="shared" si="17"/>
        <v>6.1981956272913408</v>
      </c>
      <c r="M53" s="190">
        <f t="shared" si="7"/>
        <v>0.33846547563612306</v>
      </c>
      <c r="N53" s="191">
        <f t="shared" si="8"/>
        <v>6.5366611029274635</v>
      </c>
      <c r="O53" s="190">
        <v>0</v>
      </c>
      <c r="P53" s="190">
        <v>0</v>
      </c>
      <c r="Q53" s="190">
        <v>0</v>
      </c>
      <c r="R53" s="191">
        <f t="shared" si="9"/>
        <v>6.5366611029274635</v>
      </c>
    </row>
    <row r="54" spans="1:18" x14ac:dyDescent="0.2">
      <c r="A54" s="148">
        <v>11</v>
      </c>
      <c r="B54" s="183">
        <f t="shared" si="13"/>
        <v>44866</v>
      </c>
      <c r="C54" s="203">
        <f t="shared" si="14"/>
        <v>44900</v>
      </c>
      <c r="D54" s="203">
        <f t="shared" si="14"/>
        <v>44918</v>
      </c>
      <c r="E54" s="192" t="s">
        <v>83</v>
      </c>
      <c r="F54" s="148">
        <v>9</v>
      </c>
      <c r="G54" s="185">
        <v>113</v>
      </c>
      <c r="H54" s="186">
        <f t="shared" si="5"/>
        <v>1.0368952256941935</v>
      </c>
      <c r="I54" s="186">
        <f t="shared" si="1"/>
        <v>1.105007265554538</v>
      </c>
      <c r="J54" s="190">
        <f t="shared" si="15"/>
        <v>124.86582100766279</v>
      </c>
      <c r="K54" s="194">
        <f t="shared" si="16"/>
        <v>117.16916050344386</v>
      </c>
      <c r="L54" s="193">
        <f t="shared" si="17"/>
        <v>7.6966605042189258</v>
      </c>
      <c r="M54" s="190">
        <f t="shared" si="7"/>
        <v>0.42029229392177925</v>
      </c>
      <c r="N54" s="191">
        <f t="shared" si="8"/>
        <v>8.116952798140705</v>
      </c>
      <c r="O54" s="190">
        <v>0</v>
      </c>
      <c r="P54" s="190">
        <v>0</v>
      </c>
      <c r="Q54" s="190">
        <v>0</v>
      </c>
      <c r="R54" s="191">
        <f t="shared" si="9"/>
        <v>8.116952798140705</v>
      </c>
    </row>
    <row r="55" spans="1:18" x14ac:dyDescent="0.2">
      <c r="A55" s="148">
        <v>12</v>
      </c>
      <c r="B55" s="183">
        <f t="shared" si="13"/>
        <v>44896</v>
      </c>
      <c r="C55" s="203">
        <f t="shared" si="14"/>
        <v>44930</v>
      </c>
      <c r="D55" s="203">
        <f t="shared" si="14"/>
        <v>44950</v>
      </c>
      <c r="E55" s="192" t="s">
        <v>83</v>
      </c>
      <c r="F55" s="148">
        <v>9</v>
      </c>
      <c r="G55" s="185">
        <v>210</v>
      </c>
      <c r="H55" s="195">
        <f t="shared" si="5"/>
        <v>1.0368952256941935</v>
      </c>
      <c r="I55" s="195">
        <f t="shared" si="1"/>
        <v>1.105007265554538</v>
      </c>
      <c r="J55" s="196">
        <f t="shared" si="15"/>
        <v>232.05152576645298</v>
      </c>
      <c r="K55" s="197">
        <f t="shared" si="16"/>
        <v>217.74799739578063</v>
      </c>
      <c r="L55" s="198">
        <f t="shared" si="17"/>
        <v>14.303528370672353</v>
      </c>
      <c r="M55" s="190">
        <f t="shared" si="7"/>
        <v>0.78107417454489958</v>
      </c>
      <c r="N55" s="191">
        <f t="shared" si="8"/>
        <v>15.084602545217253</v>
      </c>
      <c r="O55" s="190">
        <v>0</v>
      </c>
      <c r="P55" s="190">
        <v>0</v>
      </c>
      <c r="Q55" s="190">
        <v>0</v>
      </c>
      <c r="R55" s="191">
        <f t="shared" si="9"/>
        <v>15.084602545217253</v>
      </c>
    </row>
    <row r="56" spans="1:18" s="204" customFormat="1" x14ac:dyDescent="0.2">
      <c r="A56" s="112">
        <v>1</v>
      </c>
      <c r="B56" s="199">
        <f t="shared" si="4"/>
        <v>44562</v>
      </c>
      <c r="C56" s="200">
        <f t="shared" ref="C56:D67" si="18">+C32</f>
        <v>44595</v>
      </c>
      <c r="D56" s="200">
        <f t="shared" si="18"/>
        <v>44615</v>
      </c>
      <c r="E56" s="201" t="s">
        <v>14</v>
      </c>
      <c r="F56" s="202">
        <v>9</v>
      </c>
      <c r="G56" s="185">
        <v>893</v>
      </c>
      <c r="H56" s="186">
        <f t="shared" si="5"/>
        <v>1.0368952256941935</v>
      </c>
      <c r="I56" s="186">
        <f t="shared" si="1"/>
        <v>1.105007265554538</v>
      </c>
      <c r="J56" s="187">
        <f t="shared" si="2"/>
        <v>986.77148814020245</v>
      </c>
      <c r="K56" s="188">
        <f t="shared" si="11"/>
        <v>925.94743654491481</v>
      </c>
      <c r="L56" s="189">
        <f t="shared" si="12"/>
        <v>60.824051595287642</v>
      </c>
      <c r="M56" s="190">
        <f t="shared" si="7"/>
        <v>3.3214249422314057</v>
      </c>
      <c r="N56" s="191">
        <f t="shared" si="8"/>
        <v>64.145476537519045</v>
      </c>
      <c r="O56" s="190">
        <v>0</v>
      </c>
      <c r="P56" s="190">
        <v>0</v>
      </c>
      <c r="Q56" s="190">
        <v>0</v>
      </c>
      <c r="R56" s="191">
        <f t="shared" si="9"/>
        <v>64.145476537519045</v>
      </c>
    </row>
    <row r="57" spans="1:18" x14ac:dyDescent="0.2">
      <c r="A57" s="148">
        <v>2</v>
      </c>
      <c r="B57" s="183">
        <f t="shared" si="4"/>
        <v>44593</v>
      </c>
      <c r="C57" s="203">
        <f t="shared" si="18"/>
        <v>44623</v>
      </c>
      <c r="D57" s="203">
        <f t="shared" si="18"/>
        <v>44642</v>
      </c>
      <c r="E57" s="192" t="s">
        <v>14</v>
      </c>
      <c r="F57" s="148">
        <v>9</v>
      </c>
      <c r="G57" s="185">
        <v>796</v>
      </c>
      <c r="H57" s="186">
        <f t="shared" si="5"/>
        <v>1.0368952256941935</v>
      </c>
      <c r="I57" s="186">
        <f t="shared" si="1"/>
        <v>1.105007265554538</v>
      </c>
      <c r="J57" s="187">
        <f t="shared" si="2"/>
        <v>879.58578338141228</v>
      </c>
      <c r="K57" s="188">
        <f t="shared" si="11"/>
        <v>825.36859965257804</v>
      </c>
      <c r="L57" s="189">
        <f t="shared" si="12"/>
        <v>54.217183728834243</v>
      </c>
      <c r="M57" s="190">
        <f t="shared" si="7"/>
        <v>2.9606430616082857</v>
      </c>
      <c r="N57" s="191">
        <f t="shared" si="8"/>
        <v>57.177826790442531</v>
      </c>
      <c r="O57" s="190">
        <v>0</v>
      </c>
      <c r="P57" s="190">
        <v>0</v>
      </c>
      <c r="Q57" s="190">
        <v>0</v>
      </c>
      <c r="R57" s="191">
        <f t="shared" si="9"/>
        <v>57.177826790442531</v>
      </c>
    </row>
    <row r="58" spans="1:18" x14ac:dyDescent="0.2">
      <c r="A58" s="148">
        <v>3</v>
      </c>
      <c r="B58" s="183">
        <f t="shared" si="4"/>
        <v>44621</v>
      </c>
      <c r="C58" s="203">
        <f t="shared" si="18"/>
        <v>44656</v>
      </c>
      <c r="D58" s="203">
        <f t="shared" si="18"/>
        <v>44676</v>
      </c>
      <c r="E58" s="192" t="s">
        <v>14</v>
      </c>
      <c r="F58" s="148">
        <v>9</v>
      </c>
      <c r="G58" s="185">
        <v>700</v>
      </c>
      <c r="H58" s="186">
        <f t="shared" si="5"/>
        <v>1.0368952256941935</v>
      </c>
      <c r="I58" s="186">
        <f t="shared" si="1"/>
        <v>1.105007265554538</v>
      </c>
      <c r="J58" s="187">
        <f t="shared" si="2"/>
        <v>773.50508588817661</v>
      </c>
      <c r="K58" s="188">
        <f t="shared" si="11"/>
        <v>725.82665798593541</v>
      </c>
      <c r="L58" s="189">
        <f>+J58-K58</f>
        <v>47.678427902241197</v>
      </c>
      <c r="M58" s="190">
        <f t="shared" si="7"/>
        <v>2.6035805818163316</v>
      </c>
      <c r="N58" s="191">
        <f t="shared" si="8"/>
        <v>50.282008484057528</v>
      </c>
      <c r="O58" s="190">
        <v>0</v>
      </c>
      <c r="P58" s="190">
        <v>0</v>
      </c>
      <c r="Q58" s="190">
        <v>0</v>
      </c>
      <c r="R58" s="191">
        <f t="shared" si="9"/>
        <v>50.282008484057528</v>
      </c>
    </row>
    <row r="59" spans="1:18" x14ac:dyDescent="0.2">
      <c r="A59" s="112">
        <v>4</v>
      </c>
      <c r="B59" s="183">
        <f t="shared" si="4"/>
        <v>44652</v>
      </c>
      <c r="C59" s="203">
        <f t="shared" si="18"/>
        <v>44685</v>
      </c>
      <c r="D59" s="203">
        <f t="shared" si="18"/>
        <v>44705</v>
      </c>
      <c r="E59" s="192" t="s">
        <v>14</v>
      </c>
      <c r="F59" s="148">
        <v>9</v>
      </c>
      <c r="G59" s="185">
        <v>549</v>
      </c>
      <c r="H59" s="186">
        <f t="shared" si="5"/>
        <v>1.0368952256941935</v>
      </c>
      <c r="I59" s="186">
        <f t="shared" si="1"/>
        <v>1.105007265554538</v>
      </c>
      <c r="J59" s="187">
        <f t="shared" si="2"/>
        <v>606.64898878944132</v>
      </c>
      <c r="K59" s="188">
        <f t="shared" si="11"/>
        <v>569.25547890611222</v>
      </c>
      <c r="L59" s="189">
        <f t="shared" ref="L59:L81" si="19">+J59-K59</f>
        <v>37.393509883329102</v>
      </c>
      <c r="M59" s="190">
        <f t="shared" si="7"/>
        <v>2.041951056310237</v>
      </c>
      <c r="N59" s="191">
        <f t="shared" si="8"/>
        <v>39.435460939639341</v>
      </c>
      <c r="O59" s="190">
        <v>0</v>
      </c>
      <c r="P59" s="190">
        <v>0</v>
      </c>
      <c r="Q59" s="190">
        <v>0</v>
      </c>
      <c r="R59" s="191">
        <f t="shared" si="9"/>
        <v>39.435460939639341</v>
      </c>
    </row>
    <row r="60" spans="1:18" x14ac:dyDescent="0.2">
      <c r="A60" s="148">
        <v>5</v>
      </c>
      <c r="B60" s="183">
        <f t="shared" si="4"/>
        <v>44682</v>
      </c>
      <c r="C60" s="203">
        <f t="shared" si="18"/>
        <v>44715</v>
      </c>
      <c r="D60" s="203">
        <f t="shared" si="18"/>
        <v>44735</v>
      </c>
      <c r="E60" s="54" t="s">
        <v>14</v>
      </c>
      <c r="F60" s="148">
        <v>9</v>
      </c>
      <c r="G60" s="185">
        <v>753</v>
      </c>
      <c r="H60" s="186">
        <f t="shared" si="5"/>
        <v>1.0368952256941935</v>
      </c>
      <c r="I60" s="186">
        <f t="shared" si="1"/>
        <v>1.105007265554538</v>
      </c>
      <c r="J60" s="187">
        <f t="shared" si="2"/>
        <v>832.07047096256713</v>
      </c>
      <c r="K60" s="188">
        <f t="shared" si="11"/>
        <v>780.7821049477277</v>
      </c>
      <c r="L60" s="189">
        <f t="shared" si="19"/>
        <v>51.288366014839426</v>
      </c>
      <c r="M60" s="190">
        <f t="shared" si="7"/>
        <v>2.8007088258681394</v>
      </c>
      <c r="N60" s="191">
        <f t="shared" si="8"/>
        <v>54.089074840707568</v>
      </c>
      <c r="O60" s="190">
        <v>0</v>
      </c>
      <c r="P60" s="190">
        <v>0</v>
      </c>
      <c r="Q60" s="190">
        <v>0</v>
      </c>
      <c r="R60" s="191">
        <f t="shared" si="9"/>
        <v>54.089074840707568</v>
      </c>
    </row>
    <row r="61" spans="1:18" x14ac:dyDescent="0.2">
      <c r="A61" s="148">
        <v>6</v>
      </c>
      <c r="B61" s="183">
        <f t="shared" si="4"/>
        <v>44713</v>
      </c>
      <c r="C61" s="203">
        <f t="shared" si="18"/>
        <v>44747</v>
      </c>
      <c r="D61" s="203">
        <f t="shared" si="18"/>
        <v>44767</v>
      </c>
      <c r="E61" s="54" t="s">
        <v>14</v>
      </c>
      <c r="F61" s="148">
        <v>9</v>
      </c>
      <c r="G61" s="185">
        <v>942</v>
      </c>
      <c r="H61" s="186">
        <f t="shared" si="5"/>
        <v>1.0368952256941935</v>
      </c>
      <c r="I61" s="186">
        <f t="shared" si="1"/>
        <v>1.105007265554538</v>
      </c>
      <c r="J61" s="187">
        <f t="shared" si="2"/>
        <v>1040.9168441523748</v>
      </c>
      <c r="K61" s="188">
        <f t="shared" si="11"/>
        <v>976.7553026039302</v>
      </c>
      <c r="L61" s="193">
        <f t="shared" si="19"/>
        <v>64.161541548444575</v>
      </c>
      <c r="M61" s="190">
        <f t="shared" si="7"/>
        <v>3.5036755829585493</v>
      </c>
      <c r="N61" s="191">
        <f t="shared" si="8"/>
        <v>67.665217131403125</v>
      </c>
      <c r="O61" s="190">
        <v>0</v>
      </c>
      <c r="P61" s="190">
        <v>0</v>
      </c>
      <c r="Q61" s="190">
        <v>0</v>
      </c>
      <c r="R61" s="191">
        <f t="shared" si="9"/>
        <v>67.665217131403125</v>
      </c>
    </row>
    <row r="62" spans="1:18" x14ac:dyDescent="0.2">
      <c r="A62" s="112">
        <v>7</v>
      </c>
      <c r="B62" s="183">
        <f t="shared" si="4"/>
        <v>44743</v>
      </c>
      <c r="C62" s="203">
        <f t="shared" si="18"/>
        <v>44776</v>
      </c>
      <c r="D62" s="203">
        <f t="shared" si="18"/>
        <v>44796</v>
      </c>
      <c r="E62" s="54" t="s">
        <v>14</v>
      </c>
      <c r="F62" s="148">
        <v>9</v>
      </c>
      <c r="G62" s="185">
        <v>1036</v>
      </c>
      <c r="H62" s="186">
        <f t="shared" si="5"/>
        <v>1.0368952256941935</v>
      </c>
      <c r="I62" s="186">
        <f t="shared" si="1"/>
        <v>1.105007265554538</v>
      </c>
      <c r="J62" s="187">
        <f t="shared" si="2"/>
        <v>1144.7875271145012</v>
      </c>
      <c r="K62" s="194">
        <f t="shared" si="11"/>
        <v>1074.2234538191844</v>
      </c>
      <c r="L62" s="193">
        <f t="shared" si="19"/>
        <v>70.564073295316803</v>
      </c>
      <c r="M62" s="190">
        <f t="shared" si="7"/>
        <v>3.8532992610881704</v>
      </c>
      <c r="N62" s="191">
        <f t="shared" si="8"/>
        <v>74.41737255640497</v>
      </c>
      <c r="O62" s="190">
        <v>0</v>
      </c>
      <c r="P62" s="190">
        <v>0</v>
      </c>
      <c r="Q62" s="190">
        <v>0</v>
      </c>
      <c r="R62" s="191">
        <f t="shared" si="9"/>
        <v>74.41737255640497</v>
      </c>
    </row>
    <row r="63" spans="1:18" x14ac:dyDescent="0.2">
      <c r="A63" s="148">
        <v>8</v>
      </c>
      <c r="B63" s="183">
        <f t="shared" si="4"/>
        <v>44774</v>
      </c>
      <c r="C63" s="203">
        <f t="shared" si="18"/>
        <v>44809</v>
      </c>
      <c r="D63" s="203">
        <f t="shared" si="18"/>
        <v>44827</v>
      </c>
      <c r="E63" s="54" t="s">
        <v>14</v>
      </c>
      <c r="F63" s="148">
        <v>9</v>
      </c>
      <c r="G63" s="185">
        <v>954</v>
      </c>
      <c r="H63" s="186">
        <f t="shared" si="5"/>
        <v>1.0368952256941935</v>
      </c>
      <c r="I63" s="186">
        <f t="shared" si="1"/>
        <v>1.105007265554538</v>
      </c>
      <c r="J63" s="187">
        <f t="shared" si="2"/>
        <v>1054.1769313390294</v>
      </c>
      <c r="K63" s="194">
        <f t="shared" si="11"/>
        <v>989.19804531226055</v>
      </c>
      <c r="L63" s="193">
        <f t="shared" si="19"/>
        <v>64.978886026768805</v>
      </c>
      <c r="M63" s="190">
        <f t="shared" si="7"/>
        <v>3.5483083929325434</v>
      </c>
      <c r="N63" s="191">
        <f t="shared" si="8"/>
        <v>68.527194419701345</v>
      </c>
      <c r="O63" s="190">
        <v>0</v>
      </c>
      <c r="P63" s="190">
        <v>0</v>
      </c>
      <c r="Q63" s="190">
        <v>0</v>
      </c>
      <c r="R63" s="191">
        <f t="shared" si="9"/>
        <v>68.527194419701345</v>
      </c>
    </row>
    <row r="64" spans="1:18" x14ac:dyDescent="0.2">
      <c r="A64" s="148">
        <v>9</v>
      </c>
      <c r="B64" s="183">
        <f t="shared" si="4"/>
        <v>44805</v>
      </c>
      <c r="C64" s="203">
        <f t="shared" si="18"/>
        <v>44839</v>
      </c>
      <c r="D64" s="203">
        <f t="shared" si="18"/>
        <v>44859</v>
      </c>
      <c r="E64" s="54" t="s">
        <v>14</v>
      </c>
      <c r="F64" s="148">
        <v>9</v>
      </c>
      <c r="G64" s="185">
        <v>860</v>
      </c>
      <c r="H64" s="186">
        <f t="shared" si="5"/>
        <v>1.0368952256941935</v>
      </c>
      <c r="I64" s="186">
        <f t="shared" ref="I64:I107" si="20">$J$3</f>
        <v>1.105007265554538</v>
      </c>
      <c r="J64" s="187">
        <f t="shared" si="2"/>
        <v>950.30624837690266</v>
      </c>
      <c r="K64" s="194">
        <f t="shared" si="11"/>
        <v>891.72989409700642</v>
      </c>
      <c r="L64" s="193">
        <f t="shared" si="19"/>
        <v>58.576354279896236</v>
      </c>
      <c r="M64" s="190">
        <f t="shared" si="7"/>
        <v>3.1986847148029218</v>
      </c>
      <c r="N64" s="191">
        <f t="shared" si="8"/>
        <v>61.775038994699159</v>
      </c>
      <c r="O64" s="190">
        <v>0</v>
      </c>
      <c r="P64" s="190">
        <v>0</v>
      </c>
      <c r="Q64" s="190">
        <v>0</v>
      </c>
      <c r="R64" s="191">
        <f t="shared" si="9"/>
        <v>61.775038994699159</v>
      </c>
    </row>
    <row r="65" spans="1:18" x14ac:dyDescent="0.2">
      <c r="A65" s="112">
        <v>10</v>
      </c>
      <c r="B65" s="183">
        <f t="shared" si="4"/>
        <v>44835</v>
      </c>
      <c r="C65" s="203">
        <f t="shared" si="18"/>
        <v>44868</v>
      </c>
      <c r="D65" s="203">
        <f t="shared" si="18"/>
        <v>44888</v>
      </c>
      <c r="E65" s="54" t="s">
        <v>14</v>
      </c>
      <c r="F65" s="148">
        <v>9</v>
      </c>
      <c r="G65" s="185">
        <v>589</v>
      </c>
      <c r="H65" s="186">
        <f t="shared" si="5"/>
        <v>1.0368952256941935</v>
      </c>
      <c r="I65" s="186">
        <f t="shared" si="20"/>
        <v>1.105007265554538</v>
      </c>
      <c r="J65" s="187">
        <f t="shared" si="2"/>
        <v>650.84927941162289</v>
      </c>
      <c r="K65" s="194">
        <f t="shared" si="11"/>
        <v>610.73128793387991</v>
      </c>
      <c r="L65" s="193">
        <f t="shared" si="19"/>
        <v>40.117991477742976</v>
      </c>
      <c r="M65" s="190">
        <f t="shared" si="7"/>
        <v>2.1907270895568849</v>
      </c>
      <c r="N65" s="191">
        <f t="shared" si="8"/>
        <v>42.308718567299863</v>
      </c>
      <c r="O65" s="190">
        <v>0</v>
      </c>
      <c r="P65" s="190">
        <v>0</v>
      </c>
      <c r="Q65" s="190">
        <v>0</v>
      </c>
      <c r="R65" s="191">
        <f t="shared" si="9"/>
        <v>42.308718567299863</v>
      </c>
    </row>
    <row r="66" spans="1:18" x14ac:dyDescent="0.2">
      <c r="A66" s="148">
        <v>11</v>
      </c>
      <c r="B66" s="183">
        <f t="shared" si="4"/>
        <v>44866</v>
      </c>
      <c r="C66" s="203">
        <f t="shared" si="18"/>
        <v>44900</v>
      </c>
      <c r="D66" s="203">
        <f t="shared" si="18"/>
        <v>44918</v>
      </c>
      <c r="E66" s="54" t="s">
        <v>14</v>
      </c>
      <c r="F66" s="148">
        <v>9</v>
      </c>
      <c r="G66" s="185">
        <v>730</v>
      </c>
      <c r="H66" s="186">
        <f t="shared" si="5"/>
        <v>1.0368952256941935</v>
      </c>
      <c r="I66" s="186">
        <f t="shared" si="20"/>
        <v>1.105007265554538</v>
      </c>
      <c r="J66" s="187">
        <f t="shared" si="2"/>
        <v>806.6553038548127</v>
      </c>
      <c r="K66" s="194">
        <f t="shared" si="11"/>
        <v>756.93351475676127</v>
      </c>
      <c r="L66" s="193">
        <f t="shared" si="19"/>
        <v>49.721789098051431</v>
      </c>
      <c r="M66" s="190">
        <f t="shared" si="7"/>
        <v>2.7151626067513175</v>
      </c>
      <c r="N66" s="191">
        <f t="shared" si="8"/>
        <v>52.436951704802752</v>
      </c>
      <c r="O66" s="190">
        <v>0</v>
      </c>
      <c r="P66" s="190">
        <v>0</v>
      </c>
      <c r="Q66" s="190">
        <v>0</v>
      </c>
      <c r="R66" s="191">
        <f t="shared" si="9"/>
        <v>52.436951704802752</v>
      </c>
    </row>
    <row r="67" spans="1:18" s="207" customFormat="1" x14ac:dyDescent="0.2">
      <c r="A67" s="148">
        <v>12</v>
      </c>
      <c r="B67" s="205">
        <f t="shared" si="4"/>
        <v>44896</v>
      </c>
      <c r="C67" s="203">
        <f t="shared" si="18"/>
        <v>44930</v>
      </c>
      <c r="D67" s="203">
        <f t="shared" si="18"/>
        <v>44950</v>
      </c>
      <c r="E67" s="206" t="s">
        <v>14</v>
      </c>
      <c r="F67" s="159">
        <v>9</v>
      </c>
      <c r="G67" s="185">
        <v>1123</v>
      </c>
      <c r="H67" s="195">
        <f t="shared" si="5"/>
        <v>1.0368952256941935</v>
      </c>
      <c r="I67" s="195">
        <f t="shared" si="20"/>
        <v>1.105007265554538</v>
      </c>
      <c r="J67" s="196">
        <f t="shared" si="2"/>
        <v>1240.9231592177462</v>
      </c>
      <c r="K67" s="197">
        <f t="shared" si="11"/>
        <v>1164.4333384545791</v>
      </c>
      <c r="L67" s="198">
        <f t="shared" si="19"/>
        <v>76.489820763167018</v>
      </c>
      <c r="M67" s="190">
        <f t="shared" si="7"/>
        <v>4.1768871333996289</v>
      </c>
      <c r="N67" s="191">
        <f t="shared" si="8"/>
        <v>80.666707896566649</v>
      </c>
      <c r="O67" s="190">
        <v>0</v>
      </c>
      <c r="P67" s="190">
        <v>0</v>
      </c>
      <c r="Q67" s="190">
        <v>0</v>
      </c>
      <c r="R67" s="191">
        <f t="shared" si="9"/>
        <v>80.666707896566649</v>
      </c>
    </row>
    <row r="68" spans="1:18" x14ac:dyDescent="0.2">
      <c r="A68" s="112">
        <v>1</v>
      </c>
      <c r="B68" s="183">
        <f t="shared" si="4"/>
        <v>44562</v>
      </c>
      <c r="C68" s="200">
        <f t="shared" ref="C68:D79" si="21">+C56</f>
        <v>44595</v>
      </c>
      <c r="D68" s="200">
        <f t="shared" si="21"/>
        <v>44615</v>
      </c>
      <c r="E68" s="184" t="s">
        <v>85</v>
      </c>
      <c r="F68" s="112">
        <v>9</v>
      </c>
      <c r="G68" s="185">
        <v>48</v>
      </c>
      <c r="H68" s="186">
        <f t="shared" si="5"/>
        <v>1.0368952256941935</v>
      </c>
      <c r="I68" s="186">
        <f t="shared" si="20"/>
        <v>1.105007265554538</v>
      </c>
      <c r="J68" s="187">
        <f t="shared" si="2"/>
        <v>53.040348746617823</v>
      </c>
      <c r="K68" s="188">
        <f t="shared" si="11"/>
        <v>49.770970833321286</v>
      </c>
      <c r="L68" s="189">
        <f t="shared" si="19"/>
        <v>3.2693779132965375</v>
      </c>
      <c r="M68" s="190">
        <f t="shared" si="7"/>
        <v>0.17853123989597702</v>
      </c>
      <c r="N68" s="191">
        <f t="shared" si="8"/>
        <v>3.4479091531925143</v>
      </c>
      <c r="O68" s="190">
        <v>0</v>
      </c>
      <c r="P68" s="190">
        <v>0</v>
      </c>
      <c r="Q68" s="190">
        <v>0</v>
      </c>
      <c r="R68" s="191">
        <f t="shared" si="9"/>
        <v>3.4479091531925143</v>
      </c>
    </row>
    <row r="69" spans="1:18" x14ac:dyDescent="0.2">
      <c r="A69" s="148">
        <v>2</v>
      </c>
      <c r="B69" s="183">
        <f t="shared" si="4"/>
        <v>44593</v>
      </c>
      <c r="C69" s="203">
        <f t="shared" si="21"/>
        <v>44623</v>
      </c>
      <c r="D69" s="203">
        <f t="shared" si="21"/>
        <v>44642</v>
      </c>
      <c r="E69" s="192" t="s">
        <v>85</v>
      </c>
      <c r="F69" s="148">
        <v>9</v>
      </c>
      <c r="G69" s="185">
        <v>45</v>
      </c>
      <c r="H69" s="186">
        <f t="shared" si="5"/>
        <v>1.0368952256941935</v>
      </c>
      <c r="I69" s="186">
        <f t="shared" si="20"/>
        <v>1.105007265554538</v>
      </c>
      <c r="J69" s="187">
        <f t="shared" si="2"/>
        <v>49.725326949954209</v>
      </c>
      <c r="K69" s="188">
        <f t="shared" si="11"/>
        <v>46.660285156238707</v>
      </c>
      <c r="L69" s="189">
        <f t="shared" si="19"/>
        <v>3.0650417937155012</v>
      </c>
      <c r="M69" s="190">
        <f t="shared" si="7"/>
        <v>0.16737303740247847</v>
      </c>
      <c r="N69" s="191">
        <f t="shared" si="8"/>
        <v>3.2324148311179797</v>
      </c>
      <c r="O69" s="190">
        <v>0</v>
      </c>
      <c r="P69" s="190">
        <v>0</v>
      </c>
      <c r="Q69" s="190">
        <v>0</v>
      </c>
      <c r="R69" s="191">
        <f t="shared" si="9"/>
        <v>3.2324148311179797</v>
      </c>
    </row>
    <row r="70" spans="1:18" x14ac:dyDescent="0.2">
      <c r="A70" s="148">
        <v>3</v>
      </c>
      <c r="B70" s="183">
        <f t="shared" si="4"/>
        <v>44621</v>
      </c>
      <c r="C70" s="203">
        <f t="shared" si="21"/>
        <v>44656</v>
      </c>
      <c r="D70" s="203">
        <f t="shared" si="21"/>
        <v>44676</v>
      </c>
      <c r="E70" s="192" t="s">
        <v>85</v>
      </c>
      <c r="F70" s="148">
        <v>9</v>
      </c>
      <c r="G70" s="185">
        <v>38</v>
      </c>
      <c r="H70" s="186">
        <f t="shared" si="5"/>
        <v>1.0368952256941935</v>
      </c>
      <c r="I70" s="186">
        <f t="shared" si="20"/>
        <v>1.105007265554538</v>
      </c>
      <c r="J70" s="187">
        <f t="shared" si="2"/>
        <v>41.990276091072445</v>
      </c>
      <c r="K70" s="188">
        <f t="shared" si="11"/>
        <v>39.402018576379348</v>
      </c>
      <c r="L70" s="189">
        <f>+J70-K70</f>
        <v>2.5882575146930975</v>
      </c>
      <c r="M70" s="190">
        <f t="shared" si="7"/>
        <v>0.14133723158431516</v>
      </c>
      <c r="N70" s="191">
        <f t="shared" si="8"/>
        <v>2.7295947462774128</v>
      </c>
      <c r="O70" s="190">
        <v>0</v>
      </c>
      <c r="P70" s="190">
        <v>0</v>
      </c>
      <c r="Q70" s="190">
        <v>0</v>
      </c>
      <c r="R70" s="191">
        <f t="shared" si="9"/>
        <v>2.7295947462774128</v>
      </c>
    </row>
    <row r="71" spans="1:18" x14ac:dyDescent="0.2">
      <c r="A71" s="112">
        <v>4</v>
      </c>
      <c r="B71" s="183">
        <f t="shared" si="4"/>
        <v>44652</v>
      </c>
      <c r="C71" s="203">
        <f t="shared" si="21"/>
        <v>44685</v>
      </c>
      <c r="D71" s="203">
        <f t="shared" si="21"/>
        <v>44705</v>
      </c>
      <c r="E71" s="192" t="s">
        <v>85</v>
      </c>
      <c r="F71" s="148">
        <v>9</v>
      </c>
      <c r="G71" s="185">
        <v>26</v>
      </c>
      <c r="H71" s="186">
        <f t="shared" si="5"/>
        <v>1.0368952256941935</v>
      </c>
      <c r="I71" s="186">
        <f t="shared" si="20"/>
        <v>1.105007265554538</v>
      </c>
      <c r="J71" s="187">
        <f t="shared" si="2"/>
        <v>28.730188904417986</v>
      </c>
      <c r="K71" s="188">
        <f t="shared" si="11"/>
        <v>26.95927586804903</v>
      </c>
      <c r="L71" s="189">
        <f t="shared" ref="L71:L79" si="22">+J71-K71</f>
        <v>1.770913036368956</v>
      </c>
      <c r="M71" s="190">
        <f t="shared" si="7"/>
        <v>9.6704421610320876E-2</v>
      </c>
      <c r="N71" s="191">
        <f t="shared" si="8"/>
        <v>1.8676174579792768</v>
      </c>
      <c r="O71" s="190">
        <v>0</v>
      </c>
      <c r="P71" s="190">
        <v>0</v>
      </c>
      <c r="Q71" s="190">
        <v>0</v>
      </c>
      <c r="R71" s="191">
        <f t="shared" si="9"/>
        <v>1.8676174579792768</v>
      </c>
    </row>
    <row r="72" spans="1:18" x14ac:dyDescent="0.2">
      <c r="A72" s="148">
        <v>5</v>
      </c>
      <c r="B72" s="183">
        <f t="shared" si="4"/>
        <v>44682</v>
      </c>
      <c r="C72" s="203">
        <f t="shared" si="21"/>
        <v>44715</v>
      </c>
      <c r="D72" s="203">
        <f t="shared" si="21"/>
        <v>44735</v>
      </c>
      <c r="E72" s="192" t="s">
        <v>85</v>
      </c>
      <c r="F72" s="148">
        <v>9</v>
      </c>
      <c r="G72" s="185">
        <v>43</v>
      </c>
      <c r="H72" s="186">
        <f t="shared" si="5"/>
        <v>1.0368952256941935</v>
      </c>
      <c r="I72" s="186">
        <f t="shared" si="20"/>
        <v>1.105007265554538</v>
      </c>
      <c r="J72" s="187">
        <f t="shared" si="2"/>
        <v>47.515312418845134</v>
      </c>
      <c r="K72" s="188">
        <f t="shared" si="11"/>
        <v>44.586494704850317</v>
      </c>
      <c r="L72" s="189">
        <f t="shared" si="22"/>
        <v>2.9288177139948175</v>
      </c>
      <c r="M72" s="190">
        <f t="shared" si="7"/>
        <v>0.15993423574014609</v>
      </c>
      <c r="N72" s="191">
        <f t="shared" si="8"/>
        <v>3.0887519497349638</v>
      </c>
      <c r="O72" s="190">
        <v>0</v>
      </c>
      <c r="P72" s="190">
        <v>0</v>
      </c>
      <c r="Q72" s="190">
        <v>0</v>
      </c>
      <c r="R72" s="191">
        <f t="shared" si="9"/>
        <v>3.0887519497349638</v>
      </c>
    </row>
    <row r="73" spans="1:18" x14ac:dyDescent="0.2">
      <c r="A73" s="148">
        <v>6</v>
      </c>
      <c r="B73" s="183">
        <f t="shared" si="4"/>
        <v>44713</v>
      </c>
      <c r="C73" s="203">
        <f t="shared" si="21"/>
        <v>44747</v>
      </c>
      <c r="D73" s="203">
        <f t="shared" si="21"/>
        <v>44767</v>
      </c>
      <c r="E73" s="192" t="s">
        <v>85</v>
      </c>
      <c r="F73" s="148">
        <v>9</v>
      </c>
      <c r="G73" s="185">
        <v>54</v>
      </c>
      <c r="H73" s="186">
        <f t="shared" si="5"/>
        <v>1.0368952256941935</v>
      </c>
      <c r="I73" s="186">
        <f t="shared" si="20"/>
        <v>1.105007265554538</v>
      </c>
      <c r="J73" s="187">
        <f t="shared" si="2"/>
        <v>59.670392339945053</v>
      </c>
      <c r="K73" s="188">
        <f t="shared" si="11"/>
        <v>55.992342187486443</v>
      </c>
      <c r="L73" s="193">
        <f t="shared" si="22"/>
        <v>3.67805015245861</v>
      </c>
      <c r="M73" s="190">
        <f t="shared" si="7"/>
        <v>0.20084764488297416</v>
      </c>
      <c r="N73" s="191">
        <f t="shared" si="8"/>
        <v>3.8788977973415841</v>
      </c>
      <c r="O73" s="190">
        <v>0</v>
      </c>
      <c r="P73" s="190">
        <v>0</v>
      </c>
      <c r="Q73" s="190">
        <v>0</v>
      </c>
      <c r="R73" s="191">
        <f t="shared" si="9"/>
        <v>3.8788977973415841</v>
      </c>
    </row>
    <row r="74" spans="1:18" x14ac:dyDescent="0.2">
      <c r="A74" s="112">
        <v>7</v>
      </c>
      <c r="B74" s="183">
        <f t="shared" si="4"/>
        <v>44743</v>
      </c>
      <c r="C74" s="203">
        <f t="shared" si="21"/>
        <v>44776</v>
      </c>
      <c r="D74" s="203">
        <f t="shared" si="21"/>
        <v>44796</v>
      </c>
      <c r="E74" s="192" t="s">
        <v>85</v>
      </c>
      <c r="F74" s="148">
        <v>9</v>
      </c>
      <c r="G74" s="185">
        <v>57</v>
      </c>
      <c r="H74" s="186">
        <f t="shared" si="5"/>
        <v>1.0368952256941935</v>
      </c>
      <c r="I74" s="186">
        <f t="shared" si="20"/>
        <v>1.105007265554538</v>
      </c>
      <c r="J74" s="187">
        <f t="shared" si="2"/>
        <v>62.985414136608668</v>
      </c>
      <c r="K74" s="194">
        <f t="shared" si="11"/>
        <v>59.103027864569029</v>
      </c>
      <c r="L74" s="193">
        <f t="shared" si="22"/>
        <v>3.8823862720396392</v>
      </c>
      <c r="M74" s="190">
        <f t="shared" si="7"/>
        <v>0.21200584737647271</v>
      </c>
      <c r="N74" s="191">
        <f t="shared" si="8"/>
        <v>4.0943921194161117</v>
      </c>
      <c r="O74" s="190">
        <v>0</v>
      </c>
      <c r="P74" s="190">
        <v>0</v>
      </c>
      <c r="Q74" s="190">
        <v>0</v>
      </c>
      <c r="R74" s="191">
        <f t="shared" si="9"/>
        <v>4.0943921194161117</v>
      </c>
    </row>
    <row r="75" spans="1:18" x14ac:dyDescent="0.2">
      <c r="A75" s="148">
        <v>8</v>
      </c>
      <c r="B75" s="183">
        <f t="shared" si="4"/>
        <v>44774</v>
      </c>
      <c r="C75" s="203">
        <f t="shared" si="21"/>
        <v>44809</v>
      </c>
      <c r="D75" s="203">
        <f t="shared" si="21"/>
        <v>44827</v>
      </c>
      <c r="E75" s="192" t="s">
        <v>85</v>
      </c>
      <c r="F75" s="148">
        <v>9</v>
      </c>
      <c r="G75" s="185">
        <v>54</v>
      </c>
      <c r="H75" s="186">
        <f t="shared" si="5"/>
        <v>1.0368952256941935</v>
      </c>
      <c r="I75" s="186">
        <f t="shared" si="20"/>
        <v>1.105007265554538</v>
      </c>
      <c r="J75" s="187">
        <f t="shared" si="2"/>
        <v>59.670392339945053</v>
      </c>
      <c r="K75" s="194">
        <f t="shared" si="11"/>
        <v>55.992342187486443</v>
      </c>
      <c r="L75" s="193">
        <f t="shared" si="22"/>
        <v>3.67805015245861</v>
      </c>
      <c r="M75" s="190">
        <f t="shared" si="7"/>
        <v>0.20084764488297416</v>
      </c>
      <c r="N75" s="191">
        <f t="shared" si="8"/>
        <v>3.8788977973415841</v>
      </c>
      <c r="O75" s="190">
        <v>0</v>
      </c>
      <c r="P75" s="190">
        <v>0</v>
      </c>
      <c r="Q75" s="190">
        <v>0</v>
      </c>
      <c r="R75" s="191">
        <f t="shared" si="9"/>
        <v>3.8788977973415841</v>
      </c>
    </row>
    <row r="76" spans="1:18" x14ac:dyDescent="0.2">
      <c r="A76" s="148">
        <v>9</v>
      </c>
      <c r="B76" s="183">
        <f t="shared" si="4"/>
        <v>44805</v>
      </c>
      <c r="C76" s="203">
        <f t="shared" si="21"/>
        <v>44839</v>
      </c>
      <c r="D76" s="203">
        <f t="shared" si="21"/>
        <v>44859</v>
      </c>
      <c r="E76" s="192" t="s">
        <v>85</v>
      </c>
      <c r="F76" s="148">
        <v>9</v>
      </c>
      <c r="G76" s="185">
        <v>53</v>
      </c>
      <c r="H76" s="186">
        <f t="shared" si="5"/>
        <v>1.0368952256941935</v>
      </c>
      <c r="I76" s="186">
        <f t="shared" si="20"/>
        <v>1.105007265554538</v>
      </c>
      <c r="J76" s="187">
        <f t="shared" si="2"/>
        <v>58.565385074390512</v>
      </c>
      <c r="K76" s="194">
        <f t="shared" si="11"/>
        <v>54.955446961792255</v>
      </c>
      <c r="L76" s="193">
        <f t="shared" si="22"/>
        <v>3.6099381125982575</v>
      </c>
      <c r="M76" s="190">
        <f t="shared" si="7"/>
        <v>0.19712824405180795</v>
      </c>
      <c r="N76" s="191">
        <f t="shared" si="8"/>
        <v>3.8070663566500653</v>
      </c>
      <c r="O76" s="190">
        <v>0</v>
      </c>
      <c r="P76" s="190">
        <v>0</v>
      </c>
      <c r="Q76" s="190">
        <v>0</v>
      </c>
      <c r="R76" s="191">
        <f t="shared" si="9"/>
        <v>3.8070663566500653</v>
      </c>
    </row>
    <row r="77" spans="1:18" x14ac:dyDescent="0.2">
      <c r="A77" s="112">
        <v>10</v>
      </c>
      <c r="B77" s="183">
        <f t="shared" si="4"/>
        <v>44835</v>
      </c>
      <c r="C77" s="203">
        <f t="shared" si="21"/>
        <v>44868</v>
      </c>
      <c r="D77" s="203">
        <f t="shared" si="21"/>
        <v>44888</v>
      </c>
      <c r="E77" s="192" t="s">
        <v>85</v>
      </c>
      <c r="F77" s="148">
        <v>9</v>
      </c>
      <c r="G77" s="185">
        <v>31</v>
      </c>
      <c r="H77" s="186">
        <f t="shared" si="5"/>
        <v>1.0368952256941935</v>
      </c>
      <c r="I77" s="186">
        <f t="shared" si="20"/>
        <v>1.105007265554538</v>
      </c>
      <c r="J77" s="187">
        <f t="shared" si="2"/>
        <v>34.255225232190675</v>
      </c>
      <c r="K77" s="194">
        <f t="shared" si="11"/>
        <v>32.143751996519995</v>
      </c>
      <c r="L77" s="193">
        <f t="shared" si="22"/>
        <v>2.1114732356706796</v>
      </c>
      <c r="M77" s="190">
        <f t="shared" si="7"/>
        <v>0.11530142576615182</v>
      </c>
      <c r="N77" s="191">
        <f t="shared" si="8"/>
        <v>2.2267746614368313</v>
      </c>
      <c r="O77" s="190">
        <v>0</v>
      </c>
      <c r="P77" s="190">
        <v>0</v>
      </c>
      <c r="Q77" s="190">
        <v>0</v>
      </c>
      <c r="R77" s="191">
        <f t="shared" si="9"/>
        <v>2.2267746614368313</v>
      </c>
    </row>
    <row r="78" spans="1:18" x14ac:dyDescent="0.2">
      <c r="A78" s="148">
        <v>11</v>
      </c>
      <c r="B78" s="183">
        <f t="shared" si="4"/>
        <v>44866</v>
      </c>
      <c r="C78" s="203">
        <f t="shared" si="21"/>
        <v>44900</v>
      </c>
      <c r="D78" s="203">
        <f t="shared" si="21"/>
        <v>44918</v>
      </c>
      <c r="E78" s="192" t="s">
        <v>85</v>
      </c>
      <c r="F78" s="148">
        <v>9</v>
      </c>
      <c r="G78" s="185">
        <v>38</v>
      </c>
      <c r="H78" s="186">
        <f t="shared" si="5"/>
        <v>1.0368952256941935</v>
      </c>
      <c r="I78" s="186">
        <f t="shared" si="20"/>
        <v>1.105007265554538</v>
      </c>
      <c r="J78" s="187">
        <f t="shared" si="2"/>
        <v>41.990276091072445</v>
      </c>
      <c r="K78" s="194">
        <f>+$G78*H78</f>
        <v>39.402018576379348</v>
      </c>
      <c r="L78" s="193">
        <f t="shared" si="22"/>
        <v>2.5882575146930975</v>
      </c>
      <c r="M78" s="190">
        <f t="shared" si="7"/>
        <v>0.14133723158431516</v>
      </c>
      <c r="N78" s="191">
        <f t="shared" si="8"/>
        <v>2.7295947462774128</v>
      </c>
      <c r="O78" s="190">
        <v>0</v>
      </c>
      <c r="P78" s="190">
        <v>0</v>
      </c>
      <c r="Q78" s="190">
        <v>0</v>
      </c>
      <c r="R78" s="191">
        <f t="shared" si="9"/>
        <v>2.7295947462774128</v>
      </c>
    </row>
    <row r="79" spans="1:18" s="207" customFormat="1" x14ac:dyDescent="0.2">
      <c r="A79" s="148">
        <v>12</v>
      </c>
      <c r="B79" s="205">
        <f t="shared" si="4"/>
        <v>44896</v>
      </c>
      <c r="C79" s="208">
        <f t="shared" si="21"/>
        <v>44930</v>
      </c>
      <c r="D79" s="208">
        <f t="shared" si="21"/>
        <v>44950</v>
      </c>
      <c r="E79" s="209" t="s">
        <v>85</v>
      </c>
      <c r="F79" s="159">
        <v>9</v>
      </c>
      <c r="G79" s="185">
        <v>58</v>
      </c>
      <c r="H79" s="195">
        <f t="shared" si="5"/>
        <v>1.0368952256941935</v>
      </c>
      <c r="I79" s="195">
        <f t="shared" si="20"/>
        <v>1.105007265554538</v>
      </c>
      <c r="J79" s="196">
        <f t="shared" si="2"/>
        <v>64.090421402163201</v>
      </c>
      <c r="K79" s="197">
        <f>+$G79*H79</f>
        <v>60.139923090263224</v>
      </c>
      <c r="L79" s="198">
        <f t="shared" si="22"/>
        <v>3.9504983118999775</v>
      </c>
      <c r="M79" s="190">
        <f t="shared" si="7"/>
        <v>0.21572524820763891</v>
      </c>
      <c r="N79" s="191">
        <f t="shared" si="8"/>
        <v>4.1662235601076167</v>
      </c>
      <c r="O79" s="190">
        <v>0</v>
      </c>
      <c r="P79" s="190">
        <v>0</v>
      </c>
      <c r="Q79" s="190">
        <v>0</v>
      </c>
      <c r="R79" s="191">
        <f t="shared" si="9"/>
        <v>4.1662235601076167</v>
      </c>
    </row>
    <row r="80" spans="1:18" s="52" customFormat="1" ht="12.75" customHeight="1" x14ac:dyDescent="0.2">
      <c r="A80" s="112">
        <v>1</v>
      </c>
      <c r="B80" s="183">
        <f t="shared" si="4"/>
        <v>44562</v>
      </c>
      <c r="C80" s="200">
        <f t="shared" ref="C80:D91" si="23">+C56</f>
        <v>44595</v>
      </c>
      <c r="D80" s="200">
        <f t="shared" si="23"/>
        <v>44615</v>
      </c>
      <c r="E80" s="184" t="s">
        <v>9</v>
      </c>
      <c r="F80" s="112">
        <v>9</v>
      </c>
      <c r="G80" s="185">
        <v>50</v>
      </c>
      <c r="H80" s="186">
        <f t="shared" si="5"/>
        <v>1.0368952256941935</v>
      </c>
      <c r="I80" s="186">
        <f t="shared" si="20"/>
        <v>1.105007265554538</v>
      </c>
      <c r="J80" s="187">
        <f t="shared" si="2"/>
        <v>55.250363277726898</v>
      </c>
      <c r="K80" s="188">
        <f t="shared" si="11"/>
        <v>51.844761284709676</v>
      </c>
      <c r="L80" s="189">
        <f t="shared" si="19"/>
        <v>3.4056019930172212</v>
      </c>
      <c r="M80" s="190">
        <f t="shared" si="7"/>
        <v>0.1859700415583094</v>
      </c>
      <c r="N80" s="191">
        <f t="shared" si="8"/>
        <v>3.5915720345755306</v>
      </c>
      <c r="O80" s="190">
        <v>0</v>
      </c>
      <c r="P80" s="190">
        <v>0</v>
      </c>
      <c r="Q80" s="190">
        <v>0</v>
      </c>
      <c r="R80" s="191">
        <f t="shared" si="9"/>
        <v>3.5915720345755306</v>
      </c>
    </row>
    <row r="81" spans="1:18" x14ac:dyDescent="0.2">
      <c r="A81" s="148">
        <v>2</v>
      </c>
      <c r="B81" s="183">
        <f t="shared" si="4"/>
        <v>44593</v>
      </c>
      <c r="C81" s="203">
        <f t="shared" si="23"/>
        <v>44623</v>
      </c>
      <c r="D81" s="203">
        <f t="shared" si="23"/>
        <v>44642</v>
      </c>
      <c r="E81" s="192" t="s">
        <v>9</v>
      </c>
      <c r="F81" s="148">
        <v>9</v>
      </c>
      <c r="G81" s="185">
        <v>49</v>
      </c>
      <c r="H81" s="186">
        <f t="shared" si="5"/>
        <v>1.0368952256941935</v>
      </c>
      <c r="I81" s="186">
        <f t="shared" si="20"/>
        <v>1.105007265554538</v>
      </c>
      <c r="J81" s="187">
        <f t="shared" si="2"/>
        <v>54.145356012172364</v>
      </c>
      <c r="K81" s="188">
        <f t="shared" si="11"/>
        <v>50.807866059015481</v>
      </c>
      <c r="L81" s="189">
        <f t="shared" si="19"/>
        <v>3.3374899531568829</v>
      </c>
      <c r="M81" s="190">
        <f t="shared" si="7"/>
        <v>0.18225064072714323</v>
      </c>
      <c r="N81" s="191">
        <f t="shared" si="8"/>
        <v>3.519740593884026</v>
      </c>
      <c r="O81" s="190">
        <v>0</v>
      </c>
      <c r="P81" s="190">
        <v>0</v>
      </c>
      <c r="Q81" s="190">
        <v>0</v>
      </c>
      <c r="R81" s="191">
        <f t="shared" si="9"/>
        <v>3.519740593884026</v>
      </c>
    </row>
    <row r="82" spans="1:18" x14ac:dyDescent="0.2">
      <c r="A82" s="148">
        <v>3</v>
      </c>
      <c r="B82" s="183">
        <f t="shared" si="4"/>
        <v>44621</v>
      </c>
      <c r="C82" s="203">
        <f t="shared" si="23"/>
        <v>44656</v>
      </c>
      <c r="D82" s="203">
        <f t="shared" si="23"/>
        <v>44676</v>
      </c>
      <c r="E82" s="192" t="s">
        <v>9</v>
      </c>
      <c r="F82" s="148">
        <v>9</v>
      </c>
      <c r="G82" s="185">
        <v>45</v>
      </c>
      <c r="H82" s="186">
        <f t="shared" si="5"/>
        <v>1.0368952256941935</v>
      </c>
      <c r="I82" s="186">
        <f t="shared" si="20"/>
        <v>1.105007265554538</v>
      </c>
      <c r="J82" s="187">
        <f t="shared" si="2"/>
        <v>49.725326949954209</v>
      </c>
      <c r="K82" s="188">
        <f t="shared" si="11"/>
        <v>46.660285156238707</v>
      </c>
      <c r="L82" s="189">
        <f>+J82-K82</f>
        <v>3.0650417937155012</v>
      </c>
      <c r="M82" s="190">
        <f t="shared" si="7"/>
        <v>0.16737303740247847</v>
      </c>
      <c r="N82" s="191">
        <f t="shared" si="8"/>
        <v>3.2324148311179797</v>
      </c>
      <c r="O82" s="190">
        <v>0</v>
      </c>
      <c r="P82" s="190">
        <v>0</v>
      </c>
      <c r="Q82" s="190">
        <v>0</v>
      </c>
      <c r="R82" s="191">
        <f t="shared" si="9"/>
        <v>3.2324148311179797</v>
      </c>
    </row>
    <row r="83" spans="1:18" ht="12" customHeight="1" x14ac:dyDescent="0.2">
      <c r="A83" s="112">
        <v>4</v>
      </c>
      <c r="B83" s="183">
        <f t="shared" si="4"/>
        <v>44652</v>
      </c>
      <c r="C83" s="203">
        <f t="shared" si="23"/>
        <v>44685</v>
      </c>
      <c r="D83" s="203">
        <f t="shared" si="23"/>
        <v>44705</v>
      </c>
      <c r="E83" s="54" t="s">
        <v>9</v>
      </c>
      <c r="F83" s="148">
        <v>9</v>
      </c>
      <c r="G83" s="185">
        <v>34</v>
      </c>
      <c r="H83" s="186">
        <f t="shared" si="5"/>
        <v>1.0368952256941935</v>
      </c>
      <c r="I83" s="186">
        <f t="shared" si="20"/>
        <v>1.105007265554538</v>
      </c>
      <c r="J83" s="187">
        <f t="shared" si="2"/>
        <v>37.57024702885429</v>
      </c>
      <c r="K83" s="188">
        <f t="shared" si="11"/>
        <v>35.254437673602581</v>
      </c>
      <c r="L83" s="189">
        <f t="shared" ref="L83:L93" si="24">+J83-K83</f>
        <v>2.3158093552517087</v>
      </c>
      <c r="M83" s="190">
        <f t="shared" si="7"/>
        <v>0.1264596282596504</v>
      </c>
      <c r="N83" s="191">
        <f t="shared" si="8"/>
        <v>2.4422689835113589</v>
      </c>
      <c r="O83" s="190">
        <v>0</v>
      </c>
      <c r="P83" s="190">
        <v>0</v>
      </c>
      <c r="Q83" s="190">
        <v>0</v>
      </c>
      <c r="R83" s="191">
        <f t="shared" si="9"/>
        <v>2.4422689835113589</v>
      </c>
    </row>
    <row r="84" spans="1:18" ht="12" customHeight="1" x14ac:dyDescent="0.2">
      <c r="A84" s="148">
        <v>5</v>
      </c>
      <c r="B84" s="183">
        <f t="shared" si="4"/>
        <v>44682</v>
      </c>
      <c r="C84" s="203">
        <f t="shared" si="23"/>
        <v>44715</v>
      </c>
      <c r="D84" s="203">
        <f t="shared" si="23"/>
        <v>44735</v>
      </c>
      <c r="E84" s="54" t="s">
        <v>9</v>
      </c>
      <c r="F84" s="148">
        <v>9</v>
      </c>
      <c r="G84" s="185">
        <v>42</v>
      </c>
      <c r="H84" s="186">
        <f t="shared" si="5"/>
        <v>1.0368952256941935</v>
      </c>
      <c r="I84" s="186">
        <f t="shared" si="20"/>
        <v>1.105007265554538</v>
      </c>
      <c r="J84" s="187">
        <f t="shared" si="2"/>
        <v>46.410305153290594</v>
      </c>
      <c r="K84" s="188">
        <f t="shared" si="11"/>
        <v>43.549599479156129</v>
      </c>
      <c r="L84" s="189">
        <f t="shared" si="24"/>
        <v>2.860705674134465</v>
      </c>
      <c r="M84" s="190">
        <f t="shared" si="7"/>
        <v>0.15621483490897989</v>
      </c>
      <c r="N84" s="191">
        <f t="shared" si="8"/>
        <v>3.016920509043445</v>
      </c>
      <c r="O84" s="190">
        <v>0</v>
      </c>
      <c r="P84" s="190">
        <v>0</v>
      </c>
      <c r="Q84" s="190">
        <v>0</v>
      </c>
      <c r="R84" s="191">
        <f t="shared" si="9"/>
        <v>3.016920509043445</v>
      </c>
    </row>
    <row r="85" spans="1:18" x14ac:dyDescent="0.2">
      <c r="A85" s="148">
        <v>6</v>
      </c>
      <c r="B85" s="183">
        <f t="shared" si="4"/>
        <v>44713</v>
      </c>
      <c r="C85" s="203">
        <f t="shared" si="23"/>
        <v>44747</v>
      </c>
      <c r="D85" s="203">
        <f t="shared" si="23"/>
        <v>44767</v>
      </c>
      <c r="E85" s="54" t="s">
        <v>9</v>
      </c>
      <c r="F85" s="148">
        <v>9</v>
      </c>
      <c r="G85" s="185">
        <v>49</v>
      </c>
      <c r="H85" s="186">
        <f t="shared" ref="H85:H148" si="25">+$K$3</f>
        <v>1.0368952256941935</v>
      </c>
      <c r="I85" s="186">
        <f t="shared" si="20"/>
        <v>1.105007265554538</v>
      </c>
      <c r="J85" s="187">
        <f t="shared" si="2"/>
        <v>54.145356012172364</v>
      </c>
      <c r="K85" s="188">
        <f t="shared" si="11"/>
        <v>50.807866059015481</v>
      </c>
      <c r="L85" s="193">
        <f t="shared" si="24"/>
        <v>3.3374899531568829</v>
      </c>
      <c r="M85" s="190">
        <f t="shared" ref="M85:M148" si="26">G85/$G$212*$M$14</f>
        <v>0.18225064072714323</v>
      </c>
      <c r="N85" s="191">
        <f t="shared" ref="N85:N148" si="27">SUM(L85:M85)</f>
        <v>3.519740593884026</v>
      </c>
      <c r="O85" s="190">
        <v>0</v>
      </c>
      <c r="P85" s="190">
        <v>0</v>
      </c>
      <c r="Q85" s="190">
        <v>0</v>
      </c>
      <c r="R85" s="191">
        <f t="shared" ref="R85:R148" si="28">+N85-Q85</f>
        <v>3.519740593884026</v>
      </c>
    </row>
    <row r="86" spans="1:18" x14ac:dyDescent="0.2">
      <c r="A86" s="112">
        <v>7</v>
      </c>
      <c r="B86" s="183">
        <f t="shared" si="4"/>
        <v>44743</v>
      </c>
      <c r="C86" s="203">
        <f t="shared" si="23"/>
        <v>44776</v>
      </c>
      <c r="D86" s="203">
        <f t="shared" si="23"/>
        <v>44796</v>
      </c>
      <c r="E86" s="54" t="s">
        <v>9</v>
      </c>
      <c r="F86" s="148">
        <v>9</v>
      </c>
      <c r="G86" s="185">
        <v>54</v>
      </c>
      <c r="H86" s="186">
        <f t="shared" si="25"/>
        <v>1.0368952256941935</v>
      </c>
      <c r="I86" s="186">
        <f t="shared" si="20"/>
        <v>1.105007265554538</v>
      </c>
      <c r="J86" s="187">
        <f t="shared" si="2"/>
        <v>59.670392339945053</v>
      </c>
      <c r="K86" s="194">
        <f t="shared" si="11"/>
        <v>55.992342187486443</v>
      </c>
      <c r="L86" s="193">
        <f t="shared" si="24"/>
        <v>3.67805015245861</v>
      </c>
      <c r="M86" s="190">
        <f t="shared" si="26"/>
        <v>0.20084764488297416</v>
      </c>
      <c r="N86" s="191">
        <f t="shared" si="27"/>
        <v>3.8788977973415841</v>
      </c>
      <c r="O86" s="190">
        <v>0</v>
      </c>
      <c r="P86" s="190">
        <v>0</v>
      </c>
      <c r="Q86" s="190">
        <v>0</v>
      </c>
      <c r="R86" s="191">
        <f t="shared" si="28"/>
        <v>3.8788977973415841</v>
      </c>
    </row>
    <row r="87" spans="1:18" x14ac:dyDescent="0.2">
      <c r="A87" s="148">
        <v>8</v>
      </c>
      <c r="B87" s="183">
        <f t="shared" si="4"/>
        <v>44774</v>
      </c>
      <c r="C87" s="203">
        <f t="shared" si="23"/>
        <v>44809</v>
      </c>
      <c r="D87" s="203">
        <f t="shared" si="23"/>
        <v>44827</v>
      </c>
      <c r="E87" s="54" t="s">
        <v>9</v>
      </c>
      <c r="F87" s="148">
        <v>9</v>
      </c>
      <c r="G87" s="185">
        <v>47</v>
      </c>
      <c r="H87" s="186">
        <f t="shared" si="25"/>
        <v>1.0368952256941935</v>
      </c>
      <c r="I87" s="186">
        <f t="shared" si="20"/>
        <v>1.105007265554538</v>
      </c>
      <c r="J87" s="187">
        <f t="shared" si="2"/>
        <v>51.935341481063283</v>
      </c>
      <c r="K87" s="194">
        <f t="shared" si="11"/>
        <v>48.734075607627091</v>
      </c>
      <c r="L87" s="193">
        <f t="shared" si="24"/>
        <v>3.2012658734361921</v>
      </c>
      <c r="M87" s="190">
        <f t="shared" si="26"/>
        <v>0.17481183906481085</v>
      </c>
      <c r="N87" s="191">
        <f t="shared" si="27"/>
        <v>3.3760777125010031</v>
      </c>
      <c r="O87" s="190">
        <v>0</v>
      </c>
      <c r="P87" s="190">
        <v>0</v>
      </c>
      <c r="Q87" s="190">
        <v>0</v>
      </c>
      <c r="R87" s="191">
        <f t="shared" si="28"/>
        <v>3.3760777125010031</v>
      </c>
    </row>
    <row r="88" spans="1:18" x14ac:dyDescent="0.2">
      <c r="A88" s="148">
        <v>9</v>
      </c>
      <c r="B88" s="183">
        <f t="shared" si="4"/>
        <v>44805</v>
      </c>
      <c r="C88" s="203">
        <f t="shared" si="23"/>
        <v>44839</v>
      </c>
      <c r="D88" s="203">
        <f t="shared" si="23"/>
        <v>44859</v>
      </c>
      <c r="E88" s="54" t="s">
        <v>9</v>
      </c>
      <c r="F88" s="148">
        <v>9</v>
      </c>
      <c r="G88" s="185">
        <v>47</v>
      </c>
      <c r="H88" s="186">
        <f t="shared" si="25"/>
        <v>1.0368952256941935</v>
      </c>
      <c r="I88" s="186">
        <f t="shared" si="20"/>
        <v>1.105007265554538</v>
      </c>
      <c r="J88" s="187">
        <f t="shared" si="2"/>
        <v>51.935341481063283</v>
      </c>
      <c r="K88" s="194">
        <f t="shared" si="11"/>
        <v>48.734075607627091</v>
      </c>
      <c r="L88" s="193">
        <f t="shared" si="24"/>
        <v>3.2012658734361921</v>
      </c>
      <c r="M88" s="190">
        <f t="shared" si="26"/>
        <v>0.17481183906481085</v>
      </c>
      <c r="N88" s="191">
        <f t="shared" si="27"/>
        <v>3.3760777125010031</v>
      </c>
      <c r="O88" s="190">
        <v>0</v>
      </c>
      <c r="P88" s="190">
        <v>0</v>
      </c>
      <c r="Q88" s="190">
        <v>0</v>
      </c>
      <c r="R88" s="191">
        <f t="shared" si="28"/>
        <v>3.3760777125010031</v>
      </c>
    </row>
    <row r="89" spans="1:18" x14ac:dyDescent="0.2">
      <c r="A89" s="112">
        <v>10</v>
      </c>
      <c r="B89" s="183">
        <f t="shared" si="4"/>
        <v>44835</v>
      </c>
      <c r="C89" s="203">
        <f t="shared" si="23"/>
        <v>44868</v>
      </c>
      <c r="D89" s="203">
        <f t="shared" si="23"/>
        <v>44888</v>
      </c>
      <c r="E89" s="54" t="s">
        <v>9</v>
      </c>
      <c r="F89" s="148">
        <v>9</v>
      </c>
      <c r="G89" s="185">
        <v>39</v>
      </c>
      <c r="H89" s="186">
        <f t="shared" si="25"/>
        <v>1.0368952256941935</v>
      </c>
      <c r="I89" s="186">
        <f t="shared" si="20"/>
        <v>1.105007265554538</v>
      </c>
      <c r="J89" s="187">
        <f t="shared" si="2"/>
        <v>43.095283356626979</v>
      </c>
      <c r="K89" s="194">
        <f t="shared" si="11"/>
        <v>40.438913802073543</v>
      </c>
      <c r="L89" s="193">
        <f t="shared" si="24"/>
        <v>2.6563695545534358</v>
      </c>
      <c r="M89" s="190">
        <f t="shared" si="26"/>
        <v>0.14505663241548133</v>
      </c>
      <c r="N89" s="191">
        <f t="shared" si="27"/>
        <v>2.801426186968917</v>
      </c>
      <c r="O89" s="190">
        <v>0</v>
      </c>
      <c r="P89" s="190">
        <v>0</v>
      </c>
      <c r="Q89" s="190">
        <v>0</v>
      </c>
      <c r="R89" s="191">
        <f t="shared" si="28"/>
        <v>2.801426186968917</v>
      </c>
    </row>
    <row r="90" spans="1:18" x14ac:dyDescent="0.2">
      <c r="A90" s="148">
        <v>11</v>
      </c>
      <c r="B90" s="183">
        <f t="shared" si="4"/>
        <v>44866</v>
      </c>
      <c r="C90" s="203">
        <f t="shared" si="23"/>
        <v>44900</v>
      </c>
      <c r="D90" s="203">
        <f t="shared" si="23"/>
        <v>44918</v>
      </c>
      <c r="E90" s="54" t="s">
        <v>9</v>
      </c>
      <c r="F90" s="148">
        <v>9</v>
      </c>
      <c r="G90" s="185">
        <v>45</v>
      </c>
      <c r="H90" s="186">
        <f t="shared" si="25"/>
        <v>1.0368952256941935</v>
      </c>
      <c r="I90" s="186">
        <f t="shared" si="20"/>
        <v>1.105007265554538</v>
      </c>
      <c r="J90" s="187">
        <f t="shared" si="2"/>
        <v>49.725326949954209</v>
      </c>
      <c r="K90" s="194">
        <f t="shared" si="11"/>
        <v>46.660285156238707</v>
      </c>
      <c r="L90" s="193">
        <f t="shared" si="24"/>
        <v>3.0650417937155012</v>
      </c>
      <c r="M90" s="190">
        <f t="shared" si="26"/>
        <v>0.16737303740247847</v>
      </c>
      <c r="N90" s="191">
        <f t="shared" si="27"/>
        <v>3.2324148311179797</v>
      </c>
      <c r="O90" s="190">
        <v>0</v>
      </c>
      <c r="P90" s="190">
        <v>0</v>
      </c>
      <c r="Q90" s="190">
        <v>0</v>
      </c>
      <c r="R90" s="191">
        <f t="shared" si="28"/>
        <v>3.2324148311179797</v>
      </c>
    </row>
    <row r="91" spans="1:18" s="207" customFormat="1" x14ac:dyDescent="0.2">
      <c r="A91" s="148">
        <v>12</v>
      </c>
      <c r="B91" s="205">
        <f t="shared" si="4"/>
        <v>44896</v>
      </c>
      <c r="C91" s="203">
        <f t="shared" si="23"/>
        <v>44930</v>
      </c>
      <c r="D91" s="203">
        <f t="shared" si="23"/>
        <v>44950</v>
      </c>
      <c r="E91" s="206" t="s">
        <v>9</v>
      </c>
      <c r="F91" s="159">
        <v>9</v>
      </c>
      <c r="G91" s="185">
        <v>61</v>
      </c>
      <c r="H91" s="195">
        <f t="shared" si="25"/>
        <v>1.0368952256941935</v>
      </c>
      <c r="I91" s="195">
        <f t="shared" si="20"/>
        <v>1.105007265554538</v>
      </c>
      <c r="J91" s="196">
        <f t="shared" si="2"/>
        <v>67.405443198826816</v>
      </c>
      <c r="K91" s="197">
        <f t="shared" si="11"/>
        <v>63.250608767345803</v>
      </c>
      <c r="L91" s="198">
        <f t="shared" si="24"/>
        <v>4.1548344314810137</v>
      </c>
      <c r="M91" s="190">
        <f t="shared" si="26"/>
        <v>0.22688345070113747</v>
      </c>
      <c r="N91" s="191">
        <f t="shared" si="27"/>
        <v>4.3817178821821514</v>
      </c>
      <c r="O91" s="190">
        <v>0</v>
      </c>
      <c r="P91" s="190">
        <v>0</v>
      </c>
      <c r="Q91" s="190">
        <v>0</v>
      </c>
      <c r="R91" s="191">
        <f t="shared" si="28"/>
        <v>4.3817178821821514</v>
      </c>
    </row>
    <row r="92" spans="1:18" x14ac:dyDescent="0.2">
      <c r="A92" s="112">
        <v>1</v>
      </c>
      <c r="B92" s="183">
        <f t="shared" si="4"/>
        <v>44562</v>
      </c>
      <c r="C92" s="200">
        <f t="shared" ref="C92:D95" si="29">+C80</f>
        <v>44595</v>
      </c>
      <c r="D92" s="200">
        <f t="shared" si="29"/>
        <v>44615</v>
      </c>
      <c r="E92" s="184" t="s">
        <v>8</v>
      </c>
      <c r="F92" s="112">
        <v>9</v>
      </c>
      <c r="G92" s="185">
        <v>92</v>
      </c>
      <c r="H92" s="186">
        <f t="shared" si="25"/>
        <v>1.0368952256941935</v>
      </c>
      <c r="I92" s="186">
        <f t="shared" si="20"/>
        <v>1.105007265554538</v>
      </c>
      <c r="J92" s="187">
        <f t="shared" si="2"/>
        <v>101.6606684310175</v>
      </c>
      <c r="K92" s="188">
        <f t="shared" si="11"/>
        <v>95.394360763865791</v>
      </c>
      <c r="L92" s="189">
        <f t="shared" si="24"/>
        <v>6.2663076671517075</v>
      </c>
      <c r="M92" s="190">
        <f t="shared" si="26"/>
        <v>0.34218487646728929</v>
      </c>
      <c r="N92" s="191">
        <f t="shared" si="27"/>
        <v>6.608492543618997</v>
      </c>
      <c r="O92" s="190">
        <v>0</v>
      </c>
      <c r="P92" s="190">
        <v>0</v>
      </c>
      <c r="Q92" s="190">
        <v>0</v>
      </c>
      <c r="R92" s="191">
        <f t="shared" si="28"/>
        <v>6.608492543618997</v>
      </c>
    </row>
    <row r="93" spans="1:18" x14ac:dyDescent="0.2">
      <c r="A93" s="148">
        <v>2</v>
      </c>
      <c r="B93" s="183">
        <f t="shared" si="4"/>
        <v>44593</v>
      </c>
      <c r="C93" s="203">
        <f t="shared" si="29"/>
        <v>44623</v>
      </c>
      <c r="D93" s="203">
        <f t="shared" si="29"/>
        <v>44642</v>
      </c>
      <c r="E93" s="192" t="s">
        <v>8</v>
      </c>
      <c r="F93" s="148">
        <v>9</v>
      </c>
      <c r="G93" s="185">
        <v>88</v>
      </c>
      <c r="H93" s="186">
        <f t="shared" si="25"/>
        <v>1.0368952256941935</v>
      </c>
      <c r="I93" s="186">
        <f t="shared" si="20"/>
        <v>1.105007265554538</v>
      </c>
      <c r="J93" s="187">
        <f t="shared" si="2"/>
        <v>97.24063936879935</v>
      </c>
      <c r="K93" s="188">
        <f t="shared" si="11"/>
        <v>91.246779861089024</v>
      </c>
      <c r="L93" s="189">
        <f t="shared" si="24"/>
        <v>5.9938595077103258</v>
      </c>
      <c r="M93" s="190">
        <f t="shared" si="26"/>
        <v>0.32730727314262453</v>
      </c>
      <c r="N93" s="191">
        <f t="shared" si="27"/>
        <v>6.3211667808529501</v>
      </c>
      <c r="O93" s="190">
        <v>0</v>
      </c>
      <c r="P93" s="190">
        <v>0</v>
      </c>
      <c r="Q93" s="190">
        <v>0</v>
      </c>
      <c r="R93" s="191">
        <f t="shared" si="28"/>
        <v>6.3211667808529501</v>
      </c>
    </row>
    <row r="94" spans="1:18" x14ac:dyDescent="0.2">
      <c r="A94" s="148">
        <v>3</v>
      </c>
      <c r="B94" s="183">
        <f t="shared" si="4"/>
        <v>44621</v>
      </c>
      <c r="C94" s="203">
        <f t="shared" si="29"/>
        <v>44656</v>
      </c>
      <c r="D94" s="203">
        <f t="shared" si="29"/>
        <v>44676</v>
      </c>
      <c r="E94" s="192" t="s">
        <v>8</v>
      </c>
      <c r="F94" s="148">
        <v>9</v>
      </c>
      <c r="G94" s="185">
        <v>71</v>
      </c>
      <c r="H94" s="186">
        <f t="shared" si="25"/>
        <v>1.0368952256941935</v>
      </c>
      <c r="I94" s="186">
        <f t="shared" si="20"/>
        <v>1.105007265554538</v>
      </c>
      <c r="J94" s="187">
        <f t="shared" si="2"/>
        <v>78.455515854372194</v>
      </c>
      <c r="K94" s="188">
        <f t="shared" ref="K94:K133" si="30">+$G94*H94</f>
        <v>73.619561024287734</v>
      </c>
      <c r="L94" s="189">
        <f>+J94-K94</f>
        <v>4.8359548300844608</v>
      </c>
      <c r="M94" s="190">
        <f t="shared" si="26"/>
        <v>0.26407745901279933</v>
      </c>
      <c r="N94" s="191">
        <f t="shared" si="27"/>
        <v>5.1000322890972605</v>
      </c>
      <c r="O94" s="190">
        <v>0</v>
      </c>
      <c r="P94" s="190">
        <v>0</v>
      </c>
      <c r="Q94" s="190">
        <v>0</v>
      </c>
      <c r="R94" s="191">
        <f t="shared" si="28"/>
        <v>5.1000322890972605</v>
      </c>
    </row>
    <row r="95" spans="1:18" x14ac:dyDescent="0.2">
      <c r="A95" s="112">
        <v>4</v>
      </c>
      <c r="B95" s="183">
        <f t="shared" si="4"/>
        <v>44652</v>
      </c>
      <c r="C95" s="203">
        <f t="shared" si="29"/>
        <v>44685</v>
      </c>
      <c r="D95" s="203">
        <f t="shared" si="29"/>
        <v>44705</v>
      </c>
      <c r="E95" s="192" t="s">
        <v>8</v>
      </c>
      <c r="F95" s="148">
        <v>9</v>
      </c>
      <c r="G95" s="185">
        <v>76</v>
      </c>
      <c r="H95" s="186">
        <f t="shared" si="25"/>
        <v>1.0368952256941935</v>
      </c>
      <c r="I95" s="186">
        <f t="shared" si="20"/>
        <v>1.105007265554538</v>
      </c>
      <c r="J95" s="187">
        <f t="shared" si="2"/>
        <v>83.980552182144891</v>
      </c>
      <c r="K95" s="188">
        <f t="shared" si="30"/>
        <v>78.804037152758696</v>
      </c>
      <c r="L95" s="189">
        <f t="shared" ref="L95:L105" si="31">+J95-K95</f>
        <v>5.176515029386195</v>
      </c>
      <c r="M95" s="190">
        <f t="shared" si="26"/>
        <v>0.28267446316863032</v>
      </c>
      <c r="N95" s="191">
        <f t="shared" si="27"/>
        <v>5.4591894925548257</v>
      </c>
      <c r="O95" s="190">
        <v>0</v>
      </c>
      <c r="P95" s="190">
        <v>0</v>
      </c>
      <c r="Q95" s="190">
        <v>0</v>
      </c>
      <c r="R95" s="191">
        <f t="shared" si="28"/>
        <v>5.4591894925548257</v>
      </c>
    </row>
    <row r="96" spans="1:18" x14ac:dyDescent="0.2">
      <c r="A96" s="148">
        <v>5</v>
      </c>
      <c r="B96" s="183">
        <f t="shared" si="4"/>
        <v>44682</v>
      </c>
      <c r="C96" s="203">
        <f t="shared" ref="C96:D116" si="32">+C84</f>
        <v>44715</v>
      </c>
      <c r="D96" s="203">
        <f t="shared" si="32"/>
        <v>44735</v>
      </c>
      <c r="E96" s="54" t="s">
        <v>8</v>
      </c>
      <c r="F96" s="148">
        <v>9</v>
      </c>
      <c r="G96" s="185">
        <v>134</v>
      </c>
      <c r="H96" s="186">
        <f t="shared" si="25"/>
        <v>1.0368952256941935</v>
      </c>
      <c r="I96" s="186">
        <f t="shared" si="20"/>
        <v>1.105007265554538</v>
      </c>
      <c r="J96" s="187">
        <f t="shared" si="2"/>
        <v>148.07097358430809</v>
      </c>
      <c r="K96" s="188">
        <f t="shared" si="30"/>
        <v>138.94396024302193</v>
      </c>
      <c r="L96" s="189">
        <f t="shared" si="31"/>
        <v>9.1270133412861583</v>
      </c>
      <c r="M96" s="190">
        <f t="shared" si="26"/>
        <v>0.49839971137626921</v>
      </c>
      <c r="N96" s="191">
        <f t="shared" si="27"/>
        <v>9.6254130526624273</v>
      </c>
      <c r="O96" s="190">
        <v>0</v>
      </c>
      <c r="P96" s="190">
        <v>0</v>
      </c>
      <c r="Q96" s="190">
        <v>0</v>
      </c>
      <c r="R96" s="191">
        <f t="shared" si="28"/>
        <v>9.6254130526624273</v>
      </c>
    </row>
    <row r="97" spans="1:18" x14ac:dyDescent="0.2">
      <c r="A97" s="148">
        <v>6</v>
      </c>
      <c r="B97" s="183">
        <f t="shared" si="4"/>
        <v>44713</v>
      </c>
      <c r="C97" s="203">
        <f t="shared" si="32"/>
        <v>44747</v>
      </c>
      <c r="D97" s="203">
        <f t="shared" si="32"/>
        <v>44767</v>
      </c>
      <c r="E97" s="54" t="s">
        <v>8</v>
      </c>
      <c r="F97" s="148">
        <v>9</v>
      </c>
      <c r="G97" s="185">
        <v>145</v>
      </c>
      <c r="H97" s="186">
        <f t="shared" si="25"/>
        <v>1.0368952256941935</v>
      </c>
      <c r="I97" s="186">
        <f t="shared" si="20"/>
        <v>1.105007265554538</v>
      </c>
      <c r="J97" s="187">
        <f t="shared" si="2"/>
        <v>160.226053505408</v>
      </c>
      <c r="K97" s="188">
        <f t="shared" si="30"/>
        <v>150.34980772565805</v>
      </c>
      <c r="L97" s="193">
        <f t="shared" si="31"/>
        <v>9.8762457797499508</v>
      </c>
      <c r="M97" s="190">
        <f t="shared" si="26"/>
        <v>0.5393131205190973</v>
      </c>
      <c r="N97" s="191">
        <f t="shared" si="27"/>
        <v>10.415558900269048</v>
      </c>
      <c r="O97" s="190">
        <v>0</v>
      </c>
      <c r="P97" s="190">
        <v>0</v>
      </c>
      <c r="Q97" s="190">
        <v>0</v>
      </c>
      <c r="R97" s="191">
        <f t="shared" si="28"/>
        <v>10.415558900269048</v>
      </c>
    </row>
    <row r="98" spans="1:18" x14ac:dyDescent="0.2">
      <c r="A98" s="112">
        <v>7</v>
      </c>
      <c r="B98" s="183">
        <f t="shared" si="4"/>
        <v>44743</v>
      </c>
      <c r="C98" s="203">
        <f t="shared" si="32"/>
        <v>44776</v>
      </c>
      <c r="D98" s="203">
        <f t="shared" si="32"/>
        <v>44796</v>
      </c>
      <c r="E98" s="54" t="s">
        <v>8</v>
      </c>
      <c r="F98" s="148">
        <v>9</v>
      </c>
      <c r="G98" s="185">
        <v>161</v>
      </c>
      <c r="H98" s="186">
        <f t="shared" si="25"/>
        <v>1.0368952256941935</v>
      </c>
      <c r="I98" s="186">
        <f t="shared" si="20"/>
        <v>1.105007265554538</v>
      </c>
      <c r="J98" s="187">
        <f t="shared" si="2"/>
        <v>177.90616975428063</v>
      </c>
      <c r="K98" s="194">
        <f t="shared" si="30"/>
        <v>166.94013133676515</v>
      </c>
      <c r="L98" s="193">
        <f t="shared" si="31"/>
        <v>10.966038417515477</v>
      </c>
      <c r="M98" s="190">
        <f t="shared" si="26"/>
        <v>0.59882353381775622</v>
      </c>
      <c r="N98" s="191">
        <f t="shared" si="27"/>
        <v>11.564861951333233</v>
      </c>
      <c r="O98" s="190">
        <v>0</v>
      </c>
      <c r="P98" s="190">
        <v>0</v>
      </c>
      <c r="Q98" s="190">
        <v>0</v>
      </c>
      <c r="R98" s="191">
        <f t="shared" si="28"/>
        <v>11.564861951333233</v>
      </c>
    </row>
    <row r="99" spans="1:18" x14ac:dyDescent="0.2">
      <c r="A99" s="148">
        <v>8</v>
      </c>
      <c r="B99" s="183">
        <f t="shared" si="4"/>
        <v>44774</v>
      </c>
      <c r="C99" s="203">
        <f t="shared" si="32"/>
        <v>44809</v>
      </c>
      <c r="D99" s="203">
        <f t="shared" si="32"/>
        <v>44827</v>
      </c>
      <c r="E99" s="54" t="s">
        <v>8</v>
      </c>
      <c r="F99" s="148">
        <v>9</v>
      </c>
      <c r="G99" s="185">
        <v>154</v>
      </c>
      <c r="H99" s="186">
        <f t="shared" si="25"/>
        <v>1.0368952256941935</v>
      </c>
      <c r="I99" s="186">
        <f t="shared" si="20"/>
        <v>1.105007265554538</v>
      </c>
      <c r="J99" s="187">
        <f t="shared" si="2"/>
        <v>170.17111889539885</v>
      </c>
      <c r="K99" s="194">
        <f t="shared" si="30"/>
        <v>159.68186475690578</v>
      </c>
      <c r="L99" s="193">
        <f t="shared" si="31"/>
        <v>10.489254138493067</v>
      </c>
      <c r="M99" s="190">
        <f t="shared" si="26"/>
        <v>0.57278772799959299</v>
      </c>
      <c r="N99" s="191">
        <f t="shared" si="27"/>
        <v>11.06204186649266</v>
      </c>
      <c r="O99" s="190">
        <v>0</v>
      </c>
      <c r="P99" s="190">
        <v>0</v>
      </c>
      <c r="Q99" s="190">
        <v>0</v>
      </c>
      <c r="R99" s="191">
        <f t="shared" si="28"/>
        <v>11.06204186649266</v>
      </c>
    </row>
    <row r="100" spans="1:18" x14ac:dyDescent="0.2">
      <c r="A100" s="148">
        <v>9</v>
      </c>
      <c r="B100" s="183">
        <f t="shared" si="4"/>
        <v>44805</v>
      </c>
      <c r="C100" s="203">
        <f t="shared" si="32"/>
        <v>44839</v>
      </c>
      <c r="D100" s="203">
        <f t="shared" si="32"/>
        <v>44859</v>
      </c>
      <c r="E100" s="54" t="s">
        <v>8</v>
      </c>
      <c r="F100" s="148">
        <v>9</v>
      </c>
      <c r="G100" s="185">
        <v>132</v>
      </c>
      <c r="H100" s="186">
        <f t="shared" si="25"/>
        <v>1.0368952256941935</v>
      </c>
      <c r="I100" s="186">
        <f t="shared" si="20"/>
        <v>1.105007265554538</v>
      </c>
      <c r="J100" s="187">
        <f t="shared" si="2"/>
        <v>145.86095905319902</v>
      </c>
      <c r="K100" s="194">
        <f t="shared" si="30"/>
        <v>136.87016979163354</v>
      </c>
      <c r="L100" s="193">
        <f t="shared" si="31"/>
        <v>8.9907892615654816</v>
      </c>
      <c r="M100" s="190">
        <f t="shared" si="26"/>
        <v>0.4909609097139368</v>
      </c>
      <c r="N100" s="191">
        <f t="shared" si="27"/>
        <v>9.481750171279419</v>
      </c>
      <c r="O100" s="190">
        <v>0</v>
      </c>
      <c r="P100" s="190">
        <v>0</v>
      </c>
      <c r="Q100" s="190">
        <v>0</v>
      </c>
      <c r="R100" s="191">
        <f t="shared" si="28"/>
        <v>9.481750171279419</v>
      </c>
    </row>
    <row r="101" spans="1:18" x14ac:dyDescent="0.2">
      <c r="A101" s="112">
        <v>10</v>
      </c>
      <c r="B101" s="183">
        <f t="shared" si="4"/>
        <v>44835</v>
      </c>
      <c r="C101" s="203">
        <f t="shared" si="32"/>
        <v>44868</v>
      </c>
      <c r="D101" s="203">
        <f t="shared" si="32"/>
        <v>44888</v>
      </c>
      <c r="E101" s="54" t="s">
        <v>8</v>
      </c>
      <c r="F101" s="148">
        <v>9</v>
      </c>
      <c r="G101" s="185">
        <v>91</v>
      </c>
      <c r="H101" s="186">
        <f t="shared" si="25"/>
        <v>1.0368952256941935</v>
      </c>
      <c r="I101" s="186">
        <f t="shared" si="20"/>
        <v>1.105007265554538</v>
      </c>
      <c r="J101" s="187">
        <f t="shared" si="2"/>
        <v>100.55566116546295</v>
      </c>
      <c r="K101" s="194">
        <f t="shared" si="30"/>
        <v>94.35746553817161</v>
      </c>
      <c r="L101" s="193">
        <f t="shared" si="31"/>
        <v>6.1981956272913408</v>
      </c>
      <c r="M101" s="190">
        <f t="shared" si="26"/>
        <v>0.33846547563612306</v>
      </c>
      <c r="N101" s="191">
        <f t="shared" si="27"/>
        <v>6.5366611029274635</v>
      </c>
      <c r="O101" s="190">
        <v>0</v>
      </c>
      <c r="P101" s="190">
        <v>0</v>
      </c>
      <c r="Q101" s="190">
        <v>0</v>
      </c>
      <c r="R101" s="191">
        <f t="shared" si="28"/>
        <v>6.5366611029274635</v>
      </c>
    </row>
    <row r="102" spans="1:18" x14ac:dyDescent="0.2">
      <c r="A102" s="148">
        <v>11</v>
      </c>
      <c r="B102" s="183">
        <f t="shared" si="4"/>
        <v>44866</v>
      </c>
      <c r="C102" s="203">
        <f t="shared" si="32"/>
        <v>44900</v>
      </c>
      <c r="D102" s="203">
        <f t="shared" si="32"/>
        <v>44918</v>
      </c>
      <c r="E102" s="54" t="s">
        <v>8</v>
      </c>
      <c r="F102" s="148">
        <v>9</v>
      </c>
      <c r="G102" s="185">
        <v>67</v>
      </c>
      <c r="H102" s="186">
        <f t="shared" si="25"/>
        <v>1.0368952256941935</v>
      </c>
      <c r="I102" s="186">
        <f t="shared" si="20"/>
        <v>1.105007265554538</v>
      </c>
      <c r="J102" s="187">
        <f t="shared" si="2"/>
        <v>74.035486792154046</v>
      </c>
      <c r="K102" s="194">
        <f t="shared" si="30"/>
        <v>69.471980121510967</v>
      </c>
      <c r="L102" s="193">
        <f t="shared" si="31"/>
        <v>4.5635066706430791</v>
      </c>
      <c r="M102" s="190">
        <f t="shared" si="26"/>
        <v>0.2491998556881346</v>
      </c>
      <c r="N102" s="191">
        <f t="shared" si="27"/>
        <v>4.8127065263312137</v>
      </c>
      <c r="O102" s="190">
        <v>0</v>
      </c>
      <c r="P102" s="190">
        <v>0</v>
      </c>
      <c r="Q102" s="190">
        <v>0</v>
      </c>
      <c r="R102" s="191">
        <f t="shared" si="28"/>
        <v>4.8127065263312137</v>
      </c>
    </row>
    <row r="103" spans="1:18" s="207" customFormat="1" x14ac:dyDescent="0.2">
      <c r="A103" s="148">
        <v>12</v>
      </c>
      <c r="B103" s="205">
        <f t="shared" si="4"/>
        <v>44896</v>
      </c>
      <c r="C103" s="203">
        <f t="shared" si="32"/>
        <v>44930</v>
      </c>
      <c r="D103" s="203">
        <f t="shared" si="32"/>
        <v>44950</v>
      </c>
      <c r="E103" s="206" t="s">
        <v>8</v>
      </c>
      <c r="F103" s="159">
        <v>9</v>
      </c>
      <c r="G103" s="185">
        <v>96</v>
      </c>
      <c r="H103" s="195">
        <f t="shared" si="25"/>
        <v>1.0368952256941935</v>
      </c>
      <c r="I103" s="195">
        <f t="shared" si="20"/>
        <v>1.105007265554538</v>
      </c>
      <c r="J103" s="196">
        <f t="shared" si="2"/>
        <v>106.08069749323565</v>
      </c>
      <c r="K103" s="197">
        <f t="shared" si="30"/>
        <v>99.541941666642572</v>
      </c>
      <c r="L103" s="198">
        <f t="shared" si="31"/>
        <v>6.538755826593075</v>
      </c>
      <c r="M103" s="190">
        <f t="shared" si="26"/>
        <v>0.35706247979195405</v>
      </c>
      <c r="N103" s="191">
        <f t="shared" si="27"/>
        <v>6.8958183063850287</v>
      </c>
      <c r="O103" s="190">
        <v>0</v>
      </c>
      <c r="P103" s="190">
        <v>0</v>
      </c>
      <c r="Q103" s="190">
        <v>0</v>
      </c>
      <c r="R103" s="191">
        <f t="shared" si="28"/>
        <v>6.8958183063850287</v>
      </c>
    </row>
    <row r="104" spans="1:18" x14ac:dyDescent="0.2">
      <c r="A104" s="112">
        <v>1</v>
      </c>
      <c r="B104" s="183">
        <f t="shared" si="4"/>
        <v>44562</v>
      </c>
      <c r="C104" s="200">
        <f t="shared" si="32"/>
        <v>44595</v>
      </c>
      <c r="D104" s="200">
        <f t="shared" si="32"/>
        <v>44615</v>
      </c>
      <c r="E104" s="184" t="s">
        <v>19</v>
      </c>
      <c r="F104" s="112">
        <v>9</v>
      </c>
      <c r="G104" s="185">
        <v>42</v>
      </c>
      <c r="H104" s="186">
        <f t="shared" si="25"/>
        <v>1.0368952256941935</v>
      </c>
      <c r="I104" s="186">
        <f t="shared" si="20"/>
        <v>1.105007265554538</v>
      </c>
      <c r="J104" s="187">
        <f t="shared" si="2"/>
        <v>46.410305153290594</v>
      </c>
      <c r="K104" s="188">
        <f t="shared" si="30"/>
        <v>43.549599479156129</v>
      </c>
      <c r="L104" s="189">
        <f t="shared" si="31"/>
        <v>2.860705674134465</v>
      </c>
      <c r="M104" s="190">
        <f t="shared" si="26"/>
        <v>0.15621483490897989</v>
      </c>
      <c r="N104" s="191">
        <f t="shared" si="27"/>
        <v>3.016920509043445</v>
      </c>
      <c r="O104" s="190">
        <v>0</v>
      </c>
      <c r="P104" s="190">
        <v>0</v>
      </c>
      <c r="Q104" s="190">
        <v>0</v>
      </c>
      <c r="R104" s="191">
        <f t="shared" si="28"/>
        <v>3.016920509043445</v>
      </c>
    </row>
    <row r="105" spans="1:18" x14ac:dyDescent="0.2">
      <c r="A105" s="148">
        <v>2</v>
      </c>
      <c r="B105" s="183">
        <f t="shared" si="4"/>
        <v>44593</v>
      </c>
      <c r="C105" s="203">
        <f t="shared" si="32"/>
        <v>44623</v>
      </c>
      <c r="D105" s="203">
        <f t="shared" si="32"/>
        <v>44642</v>
      </c>
      <c r="E105" s="192" t="s">
        <v>19</v>
      </c>
      <c r="F105" s="148">
        <v>9</v>
      </c>
      <c r="G105" s="185">
        <v>43</v>
      </c>
      <c r="H105" s="186">
        <f t="shared" si="25"/>
        <v>1.0368952256941935</v>
      </c>
      <c r="I105" s="186">
        <f t="shared" si="20"/>
        <v>1.105007265554538</v>
      </c>
      <c r="J105" s="187">
        <f t="shared" si="2"/>
        <v>47.515312418845134</v>
      </c>
      <c r="K105" s="188">
        <f t="shared" si="30"/>
        <v>44.586494704850317</v>
      </c>
      <c r="L105" s="189">
        <f t="shared" si="31"/>
        <v>2.9288177139948175</v>
      </c>
      <c r="M105" s="190">
        <f t="shared" si="26"/>
        <v>0.15993423574014609</v>
      </c>
      <c r="N105" s="191">
        <f t="shared" si="27"/>
        <v>3.0887519497349638</v>
      </c>
      <c r="O105" s="190">
        <v>0</v>
      </c>
      <c r="P105" s="190">
        <v>0</v>
      </c>
      <c r="Q105" s="190">
        <v>0</v>
      </c>
      <c r="R105" s="191">
        <f t="shared" si="28"/>
        <v>3.0887519497349638</v>
      </c>
    </row>
    <row r="106" spans="1:18" x14ac:dyDescent="0.2">
      <c r="A106" s="148">
        <v>3</v>
      </c>
      <c r="B106" s="183">
        <f t="shared" si="4"/>
        <v>44621</v>
      </c>
      <c r="C106" s="203">
        <f t="shared" si="32"/>
        <v>44656</v>
      </c>
      <c r="D106" s="203">
        <f t="shared" si="32"/>
        <v>44676</v>
      </c>
      <c r="E106" s="192" t="s">
        <v>19</v>
      </c>
      <c r="F106" s="148">
        <v>9</v>
      </c>
      <c r="G106" s="185">
        <v>42</v>
      </c>
      <c r="H106" s="186">
        <f t="shared" si="25"/>
        <v>1.0368952256941935</v>
      </c>
      <c r="I106" s="186">
        <f t="shared" si="20"/>
        <v>1.105007265554538</v>
      </c>
      <c r="J106" s="187">
        <f t="shared" si="2"/>
        <v>46.410305153290594</v>
      </c>
      <c r="K106" s="188">
        <f t="shared" si="30"/>
        <v>43.549599479156129</v>
      </c>
      <c r="L106" s="189">
        <f>+J106-K106</f>
        <v>2.860705674134465</v>
      </c>
      <c r="M106" s="190">
        <f t="shared" si="26"/>
        <v>0.15621483490897989</v>
      </c>
      <c r="N106" s="191">
        <f t="shared" si="27"/>
        <v>3.016920509043445</v>
      </c>
      <c r="O106" s="190">
        <v>0</v>
      </c>
      <c r="P106" s="190">
        <v>0</v>
      </c>
      <c r="Q106" s="190">
        <v>0</v>
      </c>
      <c r="R106" s="191">
        <f t="shared" si="28"/>
        <v>3.016920509043445</v>
      </c>
    </row>
    <row r="107" spans="1:18" x14ac:dyDescent="0.2">
      <c r="A107" s="112">
        <v>4</v>
      </c>
      <c r="B107" s="183">
        <f t="shared" si="4"/>
        <v>44652</v>
      </c>
      <c r="C107" s="203">
        <f t="shared" si="32"/>
        <v>44685</v>
      </c>
      <c r="D107" s="203">
        <f t="shared" si="32"/>
        <v>44705</v>
      </c>
      <c r="E107" s="54" t="s">
        <v>19</v>
      </c>
      <c r="F107" s="148">
        <v>9</v>
      </c>
      <c r="G107" s="185">
        <v>52</v>
      </c>
      <c r="H107" s="186">
        <f t="shared" si="25"/>
        <v>1.0368952256941935</v>
      </c>
      <c r="I107" s="186">
        <f t="shared" si="20"/>
        <v>1.105007265554538</v>
      </c>
      <c r="J107" s="187">
        <f t="shared" si="2"/>
        <v>57.460377808835972</v>
      </c>
      <c r="K107" s="188">
        <f t="shared" si="30"/>
        <v>53.91855173609806</v>
      </c>
      <c r="L107" s="189">
        <f t="shared" ref="L107:L115" si="33">+J107-K107</f>
        <v>3.5418260727379121</v>
      </c>
      <c r="M107" s="190">
        <f t="shared" si="26"/>
        <v>0.19340884322064175</v>
      </c>
      <c r="N107" s="191">
        <f t="shared" si="27"/>
        <v>3.7352349159585536</v>
      </c>
      <c r="O107" s="190">
        <v>0</v>
      </c>
      <c r="P107" s="190">
        <v>0</v>
      </c>
      <c r="Q107" s="190">
        <v>0</v>
      </c>
      <c r="R107" s="191">
        <f t="shared" si="28"/>
        <v>3.7352349159585536</v>
      </c>
    </row>
    <row r="108" spans="1:18" x14ac:dyDescent="0.2">
      <c r="A108" s="148">
        <v>5</v>
      </c>
      <c r="B108" s="183">
        <f t="shared" si="4"/>
        <v>44682</v>
      </c>
      <c r="C108" s="203">
        <f t="shared" si="32"/>
        <v>44715</v>
      </c>
      <c r="D108" s="203">
        <f t="shared" si="32"/>
        <v>44735</v>
      </c>
      <c r="E108" s="54" t="s">
        <v>19</v>
      </c>
      <c r="F108" s="148">
        <v>9</v>
      </c>
      <c r="G108" s="185">
        <v>52</v>
      </c>
      <c r="H108" s="186">
        <f t="shared" si="25"/>
        <v>1.0368952256941935</v>
      </c>
      <c r="I108" s="186">
        <f t="shared" ref="I108:I127" si="34">$J$3</f>
        <v>1.105007265554538</v>
      </c>
      <c r="J108" s="187">
        <f t="shared" si="2"/>
        <v>57.460377808835972</v>
      </c>
      <c r="K108" s="188">
        <f t="shared" si="30"/>
        <v>53.91855173609806</v>
      </c>
      <c r="L108" s="189">
        <f t="shared" si="33"/>
        <v>3.5418260727379121</v>
      </c>
      <c r="M108" s="190">
        <f t="shared" si="26"/>
        <v>0.19340884322064175</v>
      </c>
      <c r="N108" s="191">
        <f t="shared" si="27"/>
        <v>3.7352349159585536</v>
      </c>
      <c r="O108" s="190">
        <v>0</v>
      </c>
      <c r="P108" s="190">
        <v>0</v>
      </c>
      <c r="Q108" s="190">
        <v>0</v>
      </c>
      <c r="R108" s="191">
        <f t="shared" si="28"/>
        <v>3.7352349159585536</v>
      </c>
    </row>
    <row r="109" spans="1:18" x14ac:dyDescent="0.2">
      <c r="A109" s="148">
        <v>6</v>
      </c>
      <c r="B109" s="183">
        <f t="shared" ref="B109:B148" si="35">DATE($R$1,A109,1)</f>
        <v>44713</v>
      </c>
      <c r="C109" s="203">
        <f t="shared" si="32"/>
        <v>44747</v>
      </c>
      <c r="D109" s="203">
        <f t="shared" si="32"/>
        <v>44767</v>
      </c>
      <c r="E109" s="54" t="s">
        <v>19</v>
      </c>
      <c r="F109" s="148">
        <v>9</v>
      </c>
      <c r="G109" s="185">
        <v>56</v>
      </c>
      <c r="H109" s="186">
        <f t="shared" si="25"/>
        <v>1.0368952256941935</v>
      </c>
      <c r="I109" s="186">
        <f t="shared" si="34"/>
        <v>1.105007265554538</v>
      </c>
      <c r="J109" s="187">
        <f t="shared" ref="J109:J148" si="36">+$G109*I109</f>
        <v>61.880406871054127</v>
      </c>
      <c r="K109" s="188">
        <f t="shared" si="30"/>
        <v>58.066132638874834</v>
      </c>
      <c r="L109" s="193">
        <f t="shared" si="33"/>
        <v>3.8142742321792937</v>
      </c>
      <c r="M109" s="190">
        <f t="shared" si="26"/>
        <v>0.20828644654530651</v>
      </c>
      <c r="N109" s="191">
        <f t="shared" si="27"/>
        <v>4.0225606787246004</v>
      </c>
      <c r="O109" s="190">
        <v>0</v>
      </c>
      <c r="P109" s="190">
        <v>0</v>
      </c>
      <c r="Q109" s="190">
        <v>0</v>
      </c>
      <c r="R109" s="191">
        <f t="shared" si="28"/>
        <v>4.0225606787246004</v>
      </c>
    </row>
    <row r="110" spans="1:18" x14ac:dyDescent="0.2">
      <c r="A110" s="112">
        <v>7</v>
      </c>
      <c r="B110" s="183">
        <f t="shared" si="35"/>
        <v>44743</v>
      </c>
      <c r="C110" s="203">
        <f t="shared" si="32"/>
        <v>44776</v>
      </c>
      <c r="D110" s="203">
        <f t="shared" si="32"/>
        <v>44796</v>
      </c>
      <c r="E110" s="54" t="s">
        <v>19</v>
      </c>
      <c r="F110" s="148">
        <v>9</v>
      </c>
      <c r="G110" s="185">
        <v>58</v>
      </c>
      <c r="H110" s="186">
        <f t="shared" si="25"/>
        <v>1.0368952256941935</v>
      </c>
      <c r="I110" s="186">
        <f t="shared" si="34"/>
        <v>1.105007265554538</v>
      </c>
      <c r="J110" s="187">
        <f t="shared" si="36"/>
        <v>64.090421402163201</v>
      </c>
      <c r="K110" s="194">
        <f t="shared" si="30"/>
        <v>60.139923090263224</v>
      </c>
      <c r="L110" s="193">
        <f t="shared" si="33"/>
        <v>3.9504983118999775</v>
      </c>
      <c r="M110" s="190">
        <f t="shared" si="26"/>
        <v>0.21572524820763891</v>
      </c>
      <c r="N110" s="191">
        <f t="shared" si="27"/>
        <v>4.1662235601076167</v>
      </c>
      <c r="O110" s="190">
        <v>0</v>
      </c>
      <c r="P110" s="190">
        <v>0</v>
      </c>
      <c r="Q110" s="190">
        <v>0</v>
      </c>
      <c r="R110" s="191">
        <f t="shared" si="28"/>
        <v>4.1662235601076167</v>
      </c>
    </row>
    <row r="111" spans="1:18" x14ac:dyDescent="0.2">
      <c r="A111" s="148">
        <v>8</v>
      </c>
      <c r="B111" s="183">
        <f t="shared" si="35"/>
        <v>44774</v>
      </c>
      <c r="C111" s="203">
        <f t="shared" si="32"/>
        <v>44809</v>
      </c>
      <c r="D111" s="203">
        <f t="shared" si="32"/>
        <v>44827</v>
      </c>
      <c r="E111" s="54" t="s">
        <v>19</v>
      </c>
      <c r="F111" s="148">
        <v>9</v>
      </c>
      <c r="G111" s="185">
        <v>60</v>
      </c>
      <c r="H111" s="186">
        <f t="shared" si="25"/>
        <v>1.0368952256941935</v>
      </c>
      <c r="I111" s="186">
        <f t="shared" si="34"/>
        <v>1.105007265554538</v>
      </c>
      <c r="J111" s="187">
        <f t="shared" si="36"/>
        <v>66.300435933272283</v>
      </c>
      <c r="K111" s="194">
        <f t="shared" si="30"/>
        <v>62.213713541651607</v>
      </c>
      <c r="L111" s="193">
        <f t="shared" si="33"/>
        <v>4.0867223916206754</v>
      </c>
      <c r="M111" s="190">
        <f t="shared" si="26"/>
        <v>0.22316404986997126</v>
      </c>
      <c r="N111" s="191">
        <f t="shared" si="27"/>
        <v>4.3098864414906464</v>
      </c>
      <c r="O111" s="190">
        <v>0</v>
      </c>
      <c r="P111" s="190">
        <v>0</v>
      </c>
      <c r="Q111" s="190">
        <v>0</v>
      </c>
      <c r="R111" s="191">
        <f t="shared" si="28"/>
        <v>4.3098864414906464</v>
      </c>
    </row>
    <row r="112" spans="1:18" x14ac:dyDescent="0.2">
      <c r="A112" s="148">
        <v>9</v>
      </c>
      <c r="B112" s="183">
        <f t="shared" si="35"/>
        <v>44805</v>
      </c>
      <c r="C112" s="203">
        <f t="shared" si="32"/>
        <v>44839</v>
      </c>
      <c r="D112" s="203">
        <f t="shared" si="32"/>
        <v>44859</v>
      </c>
      <c r="E112" s="54" t="s">
        <v>19</v>
      </c>
      <c r="F112" s="148">
        <v>9</v>
      </c>
      <c r="G112" s="185">
        <v>58</v>
      </c>
      <c r="H112" s="186">
        <f t="shared" si="25"/>
        <v>1.0368952256941935</v>
      </c>
      <c r="I112" s="186">
        <f t="shared" si="34"/>
        <v>1.105007265554538</v>
      </c>
      <c r="J112" s="187">
        <f t="shared" si="36"/>
        <v>64.090421402163201</v>
      </c>
      <c r="K112" s="194">
        <f t="shared" si="30"/>
        <v>60.139923090263224</v>
      </c>
      <c r="L112" s="193">
        <f t="shared" si="33"/>
        <v>3.9504983118999775</v>
      </c>
      <c r="M112" s="190">
        <f t="shared" si="26"/>
        <v>0.21572524820763891</v>
      </c>
      <c r="N112" s="191">
        <f t="shared" si="27"/>
        <v>4.1662235601076167</v>
      </c>
      <c r="O112" s="190">
        <v>0</v>
      </c>
      <c r="P112" s="190">
        <v>0</v>
      </c>
      <c r="Q112" s="190">
        <v>0</v>
      </c>
      <c r="R112" s="191">
        <f t="shared" si="28"/>
        <v>4.1662235601076167</v>
      </c>
    </row>
    <row r="113" spans="1:18" x14ac:dyDescent="0.2">
      <c r="A113" s="112">
        <v>10</v>
      </c>
      <c r="B113" s="183">
        <f t="shared" si="35"/>
        <v>44835</v>
      </c>
      <c r="C113" s="203">
        <f t="shared" si="32"/>
        <v>44868</v>
      </c>
      <c r="D113" s="203">
        <f t="shared" si="32"/>
        <v>44888</v>
      </c>
      <c r="E113" s="54" t="s">
        <v>19</v>
      </c>
      <c r="F113" s="148">
        <v>9</v>
      </c>
      <c r="G113" s="185">
        <v>56</v>
      </c>
      <c r="H113" s="186">
        <f t="shared" si="25"/>
        <v>1.0368952256941935</v>
      </c>
      <c r="I113" s="186">
        <f t="shared" si="34"/>
        <v>1.105007265554538</v>
      </c>
      <c r="J113" s="187">
        <f t="shared" si="36"/>
        <v>61.880406871054127</v>
      </c>
      <c r="K113" s="194">
        <f t="shared" si="30"/>
        <v>58.066132638874834</v>
      </c>
      <c r="L113" s="193">
        <f t="shared" si="33"/>
        <v>3.8142742321792937</v>
      </c>
      <c r="M113" s="190">
        <f t="shared" si="26"/>
        <v>0.20828644654530651</v>
      </c>
      <c r="N113" s="191">
        <f t="shared" si="27"/>
        <v>4.0225606787246004</v>
      </c>
      <c r="O113" s="190">
        <v>0</v>
      </c>
      <c r="P113" s="190">
        <v>0</v>
      </c>
      <c r="Q113" s="190">
        <v>0</v>
      </c>
      <c r="R113" s="191">
        <f t="shared" si="28"/>
        <v>4.0225606787246004</v>
      </c>
    </row>
    <row r="114" spans="1:18" x14ac:dyDescent="0.2">
      <c r="A114" s="148">
        <v>11</v>
      </c>
      <c r="B114" s="183">
        <f t="shared" si="35"/>
        <v>44866</v>
      </c>
      <c r="C114" s="203">
        <f t="shared" si="32"/>
        <v>44900</v>
      </c>
      <c r="D114" s="203">
        <f t="shared" si="32"/>
        <v>44918</v>
      </c>
      <c r="E114" s="54" t="s">
        <v>19</v>
      </c>
      <c r="F114" s="148">
        <v>9</v>
      </c>
      <c r="G114" s="185">
        <v>59</v>
      </c>
      <c r="H114" s="186">
        <f t="shared" si="25"/>
        <v>1.0368952256941935</v>
      </c>
      <c r="I114" s="186">
        <f t="shared" si="34"/>
        <v>1.105007265554538</v>
      </c>
      <c r="J114" s="187">
        <f t="shared" si="36"/>
        <v>65.195428667717735</v>
      </c>
      <c r="K114" s="194">
        <f t="shared" si="30"/>
        <v>61.176818315957412</v>
      </c>
      <c r="L114" s="193">
        <f t="shared" si="33"/>
        <v>4.0186103517603229</v>
      </c>
      <c r="M114" s="190">
        <f t="shared" si="26"/>
        <v>0.21944464903880512</v>
      </c>
      <c r="N114" s="191">
        <f t="shared" si="27"/>
        <v>4.238055000799128</v>
      </c>
      <c r="O114" s="190">
        <v>0</v>
      </c>
      <c r="P114" s="190">
        <v>0</v>
      </c>
      <c r="Q114" s="190">
        <v>0</v>
      </c>
      <c r="R114" s="191">
        <f t="shared" si="28"/>
        <v>4.238055000799128</v>
      </c>
    </row>
    <row r="115" spans="1:18" s="207" customFormat="1" x14ac:dyDescent="0.2">
      <c r="A115" s="148">
        <v>12</v>
      </c>
      <c r="B115" s="205">
        <f t="shared" si="35"/>
        <v>44896</v>
      </c>
      <c r="C115" s="208">
        <f t="shared" si="32"/>
        <v>44930</v>
      </c>
      <c r="D115" s="208">
        <f t="shared" si="32"/>
        <v>44950</v>
      </c>
      <c r="E115" s="206" t="s">
        <v>19</v>
      </c>
      <c r="F115" s="159">
        <v>9</v>
      </c>
      <c r="G115" s="185">
        <v>58</v>
      </c>
      <c r="H115" s="195">
        <f t="shared" si="25"/>
        <v>1.0368952256941935</v>
      </c>
      <c r="I115" s="195">
        <f t="shared" si="34"/>
        <v>1.105007265554538</v>
      </c>
      <c r="J115" s="196">
        <f t="shared" si="36"/>
        <v>64.090421402163201</v>
      </c>
      <c r="K115" s="197">
        <f t="shared" si="30"/>
        <v>60.139923090263224</v>
      </c>
      <c r="L115" s="198">
        <f t="shared" si="33"/>
        <v>3.9504983118999775</v>
      </c>
      <c r="M115" s="190">
        <f t="shared" si="26"/>
        <v>0.21572524820763891</v>
      </c>
      <c r="N115" s="191">
        <f t="shared" si="27"/>
        <v>4.1662235601076167</v>
      </c>
      <c r="O115" s="190">
        <v>0</v>
      </c>
      <c r="P115" s="190">
        <v>0</v>
      </c>
      <c r="Q115" s="190">
        <v>0</v>
      </c>
      <c r="R115" s="191">
        <f t="shared" si="28"/>
        <v>4.1662235601076167</v>
      </c>
    </row>
    <row r="116" spans="1:18" x14ac:dyDescent="0.2">
      <c r="A116" s="112">
        <v>1</v>
      </c>
      <c r="B116" s="183">
        <f t="shared" si="35"/>
        <v>44562</v>
      </c>
      <c r="C116" s="203">
        <f t="shared" si="32"/>
        <v>44595</v>
      </c>
      <c r="D116" s="203">
        <f t="shared" si="32"/>
        <v>44615</v>
      </c>
      <c r="E116" s="184" t="s">
        <v>13</v>
      </c>
      <c r="F116" s="112">
        <v>9</v>
      </c>
      <c r="G116" s="185">
        <v>1045</v>
      </c>
      <c r="H116" s="186">
        <f t="shared" si="25"/>
        <v>1.0368952256941935</v>
      </c>
      <c r="I116" s="186">
        <f t="shared" si="34"/>
        <v>1.105007265554538</v>
      </c>
      <c r="J116" s="187">
        <f t="shared" si="36"/>
        <v>1154.7325925044922</v>
      </c>
      <c r="K116" s="188">
        <f t="shared" si="30"/>
        <v>1083.5555108504323</v>
      </c>
      <c r="L116" s="189">
        <f>+J116-K116</f>
        <v>71.177081654059975</v>
      </c>
      <c r="M116" s="190">
        <f t="shared" si="26"/>
        <v>3.8867738685686666</v>
      </c>
      <c r="N116" s="191">
        <f t="shared" si="27"/>
        <v>75.063855522628643</v>
      </c>
      <c r="O116" s="190">
        <v>0</v>
      </c>
      <c r="P116" s="190">
        <v>0</v>
      </c>
      <c r="Q116" s="190">
        <v>0</v>
      </c>
      <c r="R116" s="191">
        <f t="shared" si="28"/>
        <v>75.063855522628643</v>
      </c>
    </row>
    <row r="117" spans="1:18" x14ac:dyDescent="0.2">
      <c r="A117" s="148">
        <v>2</v>
      </c>
      <c r="B117" s="183">
        <f t="shared" si="35"/>
        <v>44593</v>
      </c>
      <c r="C117" s="203">
        <f t="shared" ref="C117:D139" si="37">+C105</f>
        <v>44623</v>
      </c>
      <c r="D117" s="203">
        <f t="shared" si="37"/>
        <v>44642</v>
      </c>
      <c r="E117" s="192" t="s">
        <v>13</v>
      </c>
      <c r="F117" s="148">
        <v>9</v>
      </c>
      <c r="G117" s="185">
        <v>1114</v>
      </c>
      <c r="H117" s="186">
        <f t="shared" si="25"/>
        <v>1.0368952256941935</v>
      </c>
      <c r="I117" s="186">
        <f t="shared" si="34"/>
        <v>1.105007265554538</v>
      </c>
      <c r="J117" s="187">
        <f t="shared" si="36"/>
        <v>1230.9780938277554</v>
      </c>
      <c r="K117" s="188">
        <f t="shared" si="30"/>
        <v>1155.1012814233316</v>
      </c>
      <c r="L117" s="189">
        <f>+J117-K117</f>
        <v>75.876812404423845</v>
      </c>
      <c r="M117" s="190">
        <f t="shared" si="26"/>
        <v>4.1434125259191337</v>
      </c>
      <c r="N117" s="191">
        <f t="shared" si="27"/>
        <v>80.020224930342977</v>
      </c>
      <c r="O117" s="190">
        <v>0</v>
      </c>
      <c r="P117" s="190">
        <v>0</v>
      </c>
      <c r="Q117" s="190">
        <v>0</v>
      </c>
      <c r="R117" s="191">
        <f t="shared" si="28"/>
        <v>80.020224930342977</v>
      </c>
    </row>
    <row r="118" spans="1:18" x14ac:dyDescent="0.2">
      <c r="A118" s="148">
        <v>3</v>
      </c>
      <c r="B118" s="183">
        <f t="shared" si="35"/>
        <v>44621</v>
      </c>
      <c r="C118" s="203">
        <f t="shared" si="37"/>
        <v>44656</v>
      </c>
      <c r="D118" s="203">
        <f t="shared" si="37"/>
        <v>44676</v>
      </c>
      <c r="E118" s="192" t="s">
        <v>13</v>
      </c>
      <c r="F118" s="148">
        <v>9</v>
      </c>
      <c r="G118" s="185">
        <v>977</v>
      </c>
      <c r="H118" s="186">
        <f t="shared" si="25"/>
        <v>1.0368952256941935</v>
      </c>
      <c r="I118" s="186">
        <f t="shared" si="34"/>
        <v>1.105007265554538</v>
      </c>
      <c r="J118" s="187">
        <f t="shared" si="36"/>
        <v>1079.5920984467837</v>
      </c>
      <c r="K118" s="188">
        <f t="shared" si="30"/>
        <v>1013.046635503227</v>
      </c>
      <c r="L118" s="189">
        <f>+J118-K118</f>
        <v>66.545462943556686</v>
      </c>
      <c r="M118" s="190">
        <f t="shared" si="26"/>
        <v>3.6338546120493653</v>
      </c>
      <c r="N118" s="191">
        <f t="shared" si="27"/>
        <v>70.179317555606048</v>
      </c>
      <c r="O118" s="190">
        <v>0</v>
      </c>
      <c r="P118" s="190">
        <v>0</v>
      </c>
      <c r="Q118" s="190">
        <v>0</v>
      </c>
      <c r="R118" s="191">
        <f t="shared" si="28"/>
        <v>70.179317555606048</v>
      </c>
    </row>
    <row r="119" spans="1:18" x14ac:dyDescent="0.2">
      <c r="A119" s="112">
        <v>4</v>
      </c>
      <c r="B119" s="183">
        <f t="shared" si="35"/>
        <v>44652</v>
      </c>
      <c r="C119" s="203">
        <f t="shared" si="37"/>
        <v>44685</v>
      </c>
      <c r="D119" s="203">
        <f t="shared" si="37"/>
        <v>44705</v>
      </c>
      <c r="E119" s="54" t="s">
        <v>13</v>
      </c>
      <c r="F119" s="148">
        <v>9</v>
      </c>
      <c r="G119" s="185">
        <v>539</v>
      </c>
      <c r="H119" s="186">
        <f t="shared" si="25"/>
        <v>1.0368952256941935</v>
      </c>
      <c r="I119" s="186">
        <f t="shared" si="34"/>
        <v>1.105007265554538</v>
      </c>
      <c r="J119" s="187">
        <f t="shared" si="36"/>
        <v>595.59891613389595</v>
      </c>
      <c r="K119" s="188">
        <f t="shared" si="30"/>
        <v>558.88652664917026</v>
      </c>
      <c r="L119" s="189">
        <f t="shared" ref="L119:L127" si="38">+J119-K119</f>
        <v>36.712389484725691</v>
      </c>
      <c r="M119" s="190">
        <f t="shared" si="26"/>
        <v>2.0047570479985755</v>
      </c>
      <c r="N119" s="191">
        <f t="shared" si="27"/>
        <v>38.717146532724264</v>
      </c>
      <c r="O119" s="190">
        <v>0</v>
      </c>
      <c r="P119" s="190">
        <v>0</v>
      </c>
      <c r="Q119" s="190">
        <v>0</v>
      </c>
      <c r="R119" s="191">
        <f t="shared" si="28"/>
        <v>38.717146532724264</v>
      </c>
    </row>
    <row r="120" spans="1:18" x14ac:dyDescent="0.2">
      <c r="A120" s="148">
        <v>5</v>
      </c>
      <c r="B120" s="183">
        <f t="shared" si="35"/>
        <v>44682</v>
      </c>
      <c r="C120" s="203">
        <f t="shared" si="37"/>
        <v>44715</v>
      </c>
      <c r="D120" s="203">
        <f t="shared" si="37"/>
        <v>44735</v>
      </c>
      <c r="E120" s="54" t="s">
        <v>13</v>
      </c>
      <c r="F120" s="148">
        <v>9</v>
      </c>
      <c r="G120" s="185">
        <v>754</v>
      </c>
      <c r="H120" s="186">
        <f t="shared" si="25"/>
        <v>1.0368952256941935</v>
      </c>
      <c r="I120" s="186">
        <f t="shared" si="34"/>
        <v>1.105007265554538</v>
      </c>
      <c r="J120" s="187">
        <f t="shared" si="36"/>
        <v>833.17547822812162</v>
      </c>
      <c r="K120" s="188">
        <f t="shared" si="30"/>
        <v>781.81900017342184</v>
      </c>
      <c r="L120" s="189">
        <f t="shared" si="38"/>
        <v>51.356478054699778</v>
      </c>
      <c r="M120" s="190">
        <f t="shared" si="26"/>
        <v>2.8044282266993057</v>
      </c>
      <c r="N120" s="191">
        <f t="shared" si="27"/>
        <v>54.160906281399086</v>
      </c>
      <c r="O120" s="190">
        <v>0</v>
      </c>
      <c r="P120" s="190">
        <v>0</v>
      </c>
      <c r="Q120" s="190">
        <v>0</v>
      </c>
      <c r="R120" s="191">
        <f t="shared" si="28"/>
        <v>54.160906281399086</v>
      </c>
    </row>
    <row r="121" spans="1:18" x14ac:dyDescent="0.2">
      <c r="A121" s="148">
        <v>6</v>
      </c>
      <c r="B121" s="183">
        <f t="shared" si="35"/>
        <v>44713</v>
      </c>
      <c r="C121" s="203">
        <f t="shared" si="37"/>
        <v>44747</v>
      </c>
      <c r="D121" s="203">
        <f t="shared" si="37"/>
        <v>44767</v>
      </c>
      <c r="E121" s="54" t="s">
        <v>13</v>
      </c>
      <c r="F121" s="148">
        <v>9</v>
      </c>
      <c r="G121" s="185">
        <v>946</v>
      </c>
      <c r="H121" s="186">
        <f t="shared" si="25"/>
        <v>1.0368952256941935</v>
      </c>
      <c r="I121" s="186">
        <f t="shared" si="34"/>
        <v>1.105007265554538</v>
      </c>
      <c r="J121" s="187">
        <f t="shared" si="36"/>
        <v>1045.336873214593</v>
      </c>
      <c r="K121" s="188">
        <f t="shared" si="30"/>
        <v>980.90288350670698</v>
      </c>
      <c r="L121" s="193">
        <f t="shared" si="38"/>
        <v>64.433989707885985</v>
      </c>
      <c r="M121" s="190">
        <f t="shared" si="26"/>
        <v>3.518553186283214</v>
      </c>
      <c r="N121" s="191">
        <f t="shared" si="27"/>
        <v>67.952542894169198</v>
      </c>
      <c r="O121" s="190">
        <v>0</v>
      </c>
      <c r="P121" s="190">
        <v>0</v>
      </c>
      <c r="Q121" s="190">
        <v>0</v>
      </c>
      <c r="R121" s="191">
        <f t="shared" si="28"/>
        <v>67.952542894169198</v>
      </c>
    </row>
    <row r="122" spans="1:18" x14ac:dyDescent="0.2">
      <c r="A122" s="112">
        <v>7</v>
      </c>
      <c r="B122" s="183">
        <f t="shared" si="35"/>
        <v>44743</v>
      </c>
      <c r="C122" s="203">
        <f t="shared" si="37"/>
        <v>44776</v>
      </c>
      <c r="D122" s="203">
        <f t="shared" si="37"/>
        <v>44796</v>
      </c>
      <c r="E122" s="54" t="s">
        <v>13</v>
      </c>
      <c r="F122" s="148">
        <v>9</v>
      </c>
      <c r="G122" s="185">
        <v>979</v>
      </c>
      <c r="H122" s="186">
        <f t="shared" si="25"/>
        <v>1.0368952256941935</v>
      </c>
      <c r="I122" s="186">
        <f t="shared" si="34"/>
        <v>1.105007265554538</v>
      </c>
      <c r="J122" s="187">
        <f t="shared" si="36"/>
        <v>1081.8021129778926</v>
      </c>
      <c r="K122" s="194">
        <f t="shared" si="30"/>
        <v>1015.1204259546154</v>
      </c>
      <c r="L122" s="193">
        <f t="shared" si="38"/>
        <v>66.681687023277277</v>
      </c>
      <c r="M122" s="190">
        <f t="shared" si="26"/>
        <v>3.6412934137116979</v>
      </c>
      <c r="N122" s="191">
        <f t="shared" si="27"/>
        <v>70.322980436988971</v>
      </c>
      <c r="O122" s="190">
        <v>0</v>
      </c>
      <c r="P122" s="190">
        <v>0</v>
      </c>
      <c r="Q122" s="190">
        <v>0</v>
      </c>
      <c r="R122" s="191">
        <f t="shared" si="28"/>
        <v>70.322980436988971</v>
      </c>
    </row>
    <row r="123" spans="1:18" x14ac:dyDescent="0.2">
      <c r="A123" s="148">
        <v>8</v>
      </c>
      <c r="B123" s="183">
        <f t="shared" si="35"/>
        <v>44774</v>
      </c>
      <c r="C123" s="203">
        <f t="shared" si="37"/>
        <v>44809</v>
      </c>
      <c r="D123" s="203">
        <f t="shared" si="37"/>
        <v>44827</v>
      </c>
      <c r="E123" s="54" t="s">
        <v>13</v>
      </c>
      <c r="F123" s="148">
        <v>9</v>
      </c>
      <c r="G123" s="185">
        <v>973</v>
      </c>
      <c r="H123" s="186">
        <f t="shared" si="25"/>
        <v>1.0368952256941935</v>
      </c>
      <c r="I123" s="186">
        <f t="shared" si="34"/>
        <v>1.105007265554538</v>
      </c>
      <c r="J123" s="187">
        <f t="shared" si="36"/>
        <v>1075.1720693845655</v>
      </c>
      <c r="K123" s="194">
        <f t="shared" si="30"/>
        <v>1008.8990546004502</v>
      </c>
      <c r="L123" s="193">
        <f t="shared" si="38"/>
        <v>66.273014784115276</v>
      </c>
      <c r="M123" s="190">
        <f t="shared" si="26"/>
        <v>3.6189770087247006</v>
      </c>
      <c r="N123" s="191">
        <f t="shared" si="27"/>
        <v>69.891991792839974</v>
      </c>
      <c r="O123" s="190">
        <v>0</v>
      </c>
      <c r="P123" s="190">
        <v>0</v>
      </c>
      <c r="Q123" s="190">
        <v>0</v>
      </c>
      <c r="R123" s="191">
        <f t="shared" si="28"/>
        <v>69.891991792839974</v>
      </c>
    </row>
    <row r="124" spans="1:18" x14ac:dyDescent="0.2">
      <c r="A124" s="148">
        <v>9</v>
      </c>
      <c r="B124" s="183">
        <f t="shared" si="35"/>
        <v>44805</v>
      </c>
      <c r="C124" s="203">
        <f t="shared" si="37"/>
        <v>44839</v>
      </c>
      <c r="D124" s="203">
        <f t="shared" si="37"/>
        <v>44859</v>
      </c>
      <c r="E124" s="54" t="s">
        <v>13</v>
      </c>
      <c r="F124" s="148">
        <v>9</v>
      </c>
      <c r="G124" s="185">
        <v>847</v>
      </c>
      <c r="H124" s="186">
        <f t="shared" si="25"/>
        <v>1.0368952256941935</v>
      </c>
      <c r="I124" s="186">
        <f t="shared" si="34"/>
        <v>1.105007265554538</v>
      </c>
      <c r="J124" s="187">
        <f t="shared" si="36"/>
        <v>935.94115392469371</v>
      </c>
      <c r="K124" s="194">
        <f t="shared" si="30"/>
        <v>878.25025616298183</v>
      </c>
      <c r="L124" s="193">
        <f t="shared" si="38"/>
        <v>57.690897761711881</v>
      </c>
      <c r="M124" s="190">
        <f t="shared" si="26"/>
        <v>3.1503325039977614</v>
      </c>
      <c r="N124" s="191">
        <f t="shared" si="27"/>
        <v>60.84123026570964</v>
      </c>
      <c r="O124" s="190">
        <v>0</v>
      </c>
      <c r="P124" s="190">
        <v>0</v>
      </c>
      <c r="Q124" s="190">
        <v>0</v>
      </c>
      <c r="R124" s="191">
        <f t="shared" si="28"/>
        <v>60.84123026570964</v>
      </c>
    </row>
    <row r="125" spans="1:18" x14ac:dyDescent="0.2">
      <c r="A125" s="112">
        <v>10</v>
      </c>
      <c r="B125" s="183">
        <f t="shared" si="35"/>
        <v>44835</v>
      </c>
      <c r="C125" s="203">
        <f t="shared" si="37"/>
        <v>44868</v>
      </c>
      <c r="D125" s="203">
        <f t="shared" si="37"/>
        <v>44888</v>
      </c>
      <c r="E125" s="54" t="s">
        <v>13</v>
      </c>
      <c r="F125" s="148">
        <v>9</v>
      </c>
      <c r="G125" s="185">
        <v>609</v>
      </c>
      <c r="H125" s="186">
        <f t="shared" si="25"/>
        <v>1.0368952256941935</v>
      </c>
      <c r="I125" s="186">
        <f t="shared" si="34"/>
        <v>1.105007265554538</v>
      </c>
      <c r="J125" s="187">
        <f t="shared" si="36"/>
        <v>672.94942472271362</v>
      </c>
      <c r="K125" s="194">
        <f t="shared" si="30"/>
        <v>631.46919244776382</v>
      </c>
      <c r="L125" s="193">
        <f t="shared" si="38"/>
        <v>41.480232274949799</v>
      </c>
      <c r="M125" s="190">
        <f t="shared" si="26"/>
        <v>2.2651151061802084</v>
      </c>
      <c r="N125" s="191">
        <f t="shared" si="27"/>
        <v>43.74534738113001</v>
      </c>
      <c r="O125" s="190">
        <v>0</v>
      </c>
      <c r="P125" s="190">
        <v>0</v>
      </c>
      <c r="Q125" s="190">
        <v>0</v>
      </c>
      <c r="R125" s="191">
        <f t="shared" si="28"/>
        <v>43.74534738113001</v>
      </c>
    </row>
    <row r="126" spans="1:18" x14ac:dyDescent="0.2">
      <c r="A126" s="148">
        <v>11</v>
      </c>
      <c r="B126" s="183">
        <f t="shared" si="35"/>
        <v>44866</v>
      </c>
      <c r="C126" s="203">
        <f t="shared" si="37"/>
        <v>44900</v>
      </c>
      <c r="D126" s="203">
        <f t="shared" si="37"/>
        <v>44918</v>
      </c>
      <c r="E126" s="54" t="s">
        <v>13</v>
      </c>
      <c r="F126" s="148">
        <v>9</v>
      </c>
      <c r="G126" s="185">
        <v>807</v>
      </c>
      <c r="H126" s="186">
        <f t="shared" si="25"/>
        <v>1.0368952256941935</v>
      </c>
      <c r="I126" s="186">
        <f t="shared" si="34"/>
        <v>1.105007265554538</v>
      </c>
      <c r="J126" s="187">
        <f t="shared" si="36"/>
        <v>891.74086330251214</v>
      </c>
      <c r="K126" s="194">
        <f t="shared" si="30"/>
        <v>836.77444713521413</v>
      </c>
      <c r="L126" s="193">
        <f t="shared" si="38"/>
        <v>54.966416167298007</v>
      </c>
      <c r="M126" s="190">
        <f t="shared" si="26"/>
        <v>3.0015564707511135</v>
      </c>
      <c r="N126" s="191">
        <f t="shared" si="27"/>
        <v>57.967972638049119</v>
      </c>
      <c r="O126" s="190">
        <v>0</v>
      </c>
      <c r="P126" s="190">
        <v>0</v>
      </c>
      <c r="Q126" s="190">
        <v>0</v>
      </c>
      <c r="R126" s="191">
        <f t="shared" si="28"/>
        <v>57.967972638049119</v>
      </c>
    </row>
    <row r="127" spans="1:18" s="207" customFormat="1" x14ac:dyDescent="0.2">
      <c r="A127" s="148">
        <v>12</v>
      </c>
      <c r="B127" s="205">
        <f t="shared" si="35"/>
        <v>44896</v>
      </c>
      <c r="C127" s="208">
        <f t="shared" si="37"/>
        <v>44930</v>
      </c>
      <c r="D127" s="208">
        <f t="shared" si="37"/>
        <v>44950</v>
      </c>
      <c r="E127" s="206" t="s">
        <v>13</v>
      </c>
      <c r="F127" s="159">
        <v>9</v>
      </c>
      <c r="G127" s="185">
        <v>1434</v>
      </c>
      <c r="H127" s="195">
        <f t="shared" si="25"/>
        <v>1.0368952256941935</v>
      </c>
      <c r="I127" s="195">
        <f t="shared" si="34"/>
        <v>1.105007265554538</v>
      </c>
      <c r="J127" s="196">
        <f t="shared" si="36"/>
        <v>1584.5804188052075</v>
      </c>
      <c r="K127" s="197">
        <f t="shared" si="30"/>
        <v>1486.9077536454733</v>
      </c>
      <c r="L127" s="198">
        <f t="shared" si="38"/>
        <v>97.672665159734152</v>
      </c>
      <c r="M127" s="190">
        <f t="shared" si="26"/>
        <v>5.3336207918923133</v>
      </c>
      <c r="N127" s="191">
        <f t="shared" si="27"/>
        <v>103.00628595162647</v>
      </c>
      <c r="O127" s="190">
        <v>0</v>
      </c>
      <c r="P127" s="190">
        <v>0</v>
      </c>
      <c r="Q127" s="190">
        <v>0</v>
      </c>
      <c r="R127" s="191">
        <f t="shared" si="28"/>
        <v>103.00628595162647</v>
      </c>
    </row>
    <row r="128" spans="1:18" x14ac:dyDescent="0.2">
      <c r="A128" s="112">
        <v>1</v>
      </c>
      <c r="B128" s="183">
        <f t="shared" si="35"/>
        <v>44562</v>
      </c>
      <c r="C128" s="203">
        <f t="shared" si="37"/>
        <v>44595</v>
      </c>
      <c r="D128" s="203">
        <f t="shared" si="37"/>
        <v>44615</v>
      </c>
      <c r="E128" s="184" t="s">
        <v>15</v>
      </c>
      <c r="F128" s="112">
        <v>9</v>
      </c>
      <c r="G128" s="185">
        <v>8</v>
      </c>
      <c r="H128" s="186">
        <f t="shared" si="25"/>
        <v>1.0368952256941935</v>
      </c>
      <c r="I128" s="186">
        <f t="shared" ref="I128:I147" si="39">$J$3</f>
        <v>1.105007265554538</v>
      </c>
      <c r="J128" s="187">
        <f t="shared" si="36"/>
        <v>8.8400581244363039</v>
      </c>
      <c r="K128" s="188">
        <f t="shared" si="30"/>
        <v>8.2951618055535477</v>
      </c>
      <c r="L128" s="189">
        <f>+J128-K128</f>
        <v>0.54489631888275625</v>
      </c>
      <c r="M128" s="190">
        <f t="shared" si="26"/>
        <v>2.9755206649329506E-2</v>
      </c>
      <c r="N128" s="191">
        <f t="shared" si="27"/>
        <v>0.57465152553208576</v>
      </c>
      <c r="O128" s="190">
        <v>0</v>
      </c>
      <c r="P128" s="190">
        <v>0</v>
      </c>
      <c r="Q128" s="190">
        <v>0</v>
      </c>
      <c r="R128" s="191">
        <f t="shared" si="28"/>
        <v>0.57465152553208576</v>
      </c>
    </row>
    <row r="129" spans="1:18" x14ac:dyDescent="0.2">
      <c r="A129" s="148">
        <v>2</v>
      </c>
      <c r="B129" s="183">
        <f t="shared" si="35"/>
        <v>44593</v>
      </c>
      <c r="C129" s="203">
        <f t="shared" si="37"/>
        <v>44623</v>
      </c>
      <c r="D129" s="203">
        <f t="shared" si="37"/>
        <v>44642</v>
      </c>
      <c r="E129" s="192" t="s">
        <v>15</v>
      </c>
      <c r="F129" s="148">
        <v>9</v>
      </c>
      <c r="G129" s="185">
        <v>7</v>
      </c>
      <c r="H129" s="186">
        <f t="shared" si="25"/>
        <v>1.0368952256941935</v>
      </c>
      <c r="I129" s="186">
        <f t="shared" si="39"/>
        <v>1.105007265554538</v>
      </c>
      <c r="J129" s="187">
        <f t="shared" si="36"/>
        <v>7.7350508588817659</v>
      </c>
      <c r="K129" s="188">
        <f t="shared" si="30"/>
        <v>7.2582665798593542</v>
      </c>
      <c r="L129" s="189">
        <f>+J129-K129</f>
        <v>0.47678427902241172</v>
      </c>
      <c r="M129" s="190">
        <f t="shared" si="26"/>
        <v>2.6035805818163314E-2</v>
      </c>
      <c r="N129" s="191">
        <f t="shared" si="27"/>
        <v>0.50282008484057505</v>
      </c>
      <c r="O129" s="190">
        <v>0</v>
      </c>
      <c r="P129" s="190">
        <v>0</v>
      </c>
      <c r="Q129" s="190">
        <v>0</v>
      </c>
      <c r="R129" s="191">
        <f t="shared" si="28"/>
        <v>0.50282008484057505</v>
      </c>
    </row>
    <row r="130" spans="1:18" x14ac:dyDescent="0.2">
      <c r="A130" s="148">
        <v>3</v>
      </c>
      <c r="B130" s="183">
        <f t="shared" si="35"/>
        <v>44621</v>
      </c>
      <c r="C130" s="203">
        <f t="shared" si="37"/>
        <v>44656</v>
      </c>
      <c r="D130" s="203">
        <f t="shared" si="37"/>
        <v>44676</v>
      </c>
      <c r="E130" s="192" t="s">
        <v>15</v>
      </c>
      <c r="F130" s="148">
        <v>9</v>
      </c>
      <c r="G130" s="185">
        <v>5</v>
      </c>
      <c r="H130" s="186">
        <f t="shared" si="25"/>
        <v>1.0368952256941935</v>
      </c>
      <c r="I130" s="186">
        <f t="shared" si="39"/>
        <v>1.105007265554538</v>
      </c>
      <c r="J130" s="187">
        <f t="shared" si="36"/>
        <v>5.5250363277726899</v>
      </c>
      <c r="K130" s="188">
        <f t="shared" si="30"/>
        <v>5.1844761284709673</v>
      </c>
      <c r="L130" s="189">
        <f>+J130-K130</f>
        <v>0.34056019930172265</v>
      </c>
      <c r="M130" s="190">
        <f t="shared" si="26"/>
        <v>1.8597004155830939E-2</v>
      </c>
      <c r="N130" s="191">
        <f t="shared" si="27"/>
        <v>0.35915720345755359</v>
      </c>
      <c r="O130" s="190">
        <v>0</v>
      </c>
      <c r="P130" s="190">
        <v>0</v>
      </c>
      <c r="Q130" s="190">
        <v>0</v>
      </c>
      <c r="R130" s="191">
        <f t="shared" si="28"/>
        <v>0.35915720345755359</v>
      </c>
    </row>
    <row r="131" spans="1:18" x14ac:dyDescent="0.2">
      <c r="A131" s="112">
        <v>4</v>
      </c>
      <c r="B131" s="183">
        <f t="shared" si="35"/>
        <v>44652</v>
      </c>
      <c r="C131" s="203">
        <f t="shared" si="37"/>
        <v>44685</v>
      </c>
      <c r="D131" s="203">
        <f t="shared" si="37"/>
        <v>44705</v>
      </c>
      <c r="E131" s="192" t="s">
        <v>15</v>
      </c>
      <c r="F131" s="148">
        <v>9</v>
      </c>
      <c r="G131" s="185">
        <v>7</v>
      </c>
      <c r="H131" s="186">
        <f t="shared" si="25"/>
        <v>1.0368952256941935</v>
      </c>
      <c r="I131" s="186">
        <f t="shared" si="39"/>
        <v>1.105007265554538</v>
      </c>
      <c r="J131" s="187">
        <f t="shared" si="36"/>
        <v>7.7350508588817659</v>
      </c>
      <c r="K131" s="188">
        <f t="shared" si="30"/>
        <v>7.2582665798593542</v>
      </c>
      <c r="L131" s="189">
        <f t="shared" ref="L131:L141" si="40">+J131-K131</f>
        <v>0.47678427902241172</v>
      </c>
      <c r="M131" s="190">
        <f t="shared" si="26"/>
        <v>2.6035805818163314E-2</v>
      </c>
      <c r="N131" s="191">
        <f t="shared" si="27"/>
        <v>0.50282008484057505</v>
      </c>
      <c r="O131" s="190">
        <v>0</v>
      </c>
      <c r="P131" s="190">
        <v>0</v>
      </c>
      <c r="Q131" s="190">
        <v>0</v>
      </c>
      <c r="R131" s="191">
        <f t="shared" si="28"/>
        <v>0.50282008484057505</v>
      </c>
    </row>
    <row r="132" spans="1:18" x14ac:dyDescent="0.2">
      <c r="A132" s="148">
        <v>5</v>
      </c>
      <c r="B132" s="183">
        <f t="shared" si="35"/>
        <v>44682</v>
      </c>
      <c r="C132" s="203">
        <f t="shared" si="37"/>
        <v>44715</v>
      </c>
      <c r="D132" s="203">
        <f t="shared" si="37"/>
        <v>44735</v>
      </c>
      <c r="E132" s="54" t="s">
        <v>15</v>
      </c>
      <c r="F132" s="148">
        <v>9</v>
      </c>
      <c r="G132" s="185">
        <v>10</v>
      </c>
      <c r="H132" s="186">
        <f t="shared" si="25"/>
        <v>1.0368952256941935</v>
      </c>
      <c r="I132" s="186">
        <f t="shared" si="39"/>
        <v>1.105007265554538</v>
      </c>
      <c r="J132" s="187">
        <f t="shared" si="36"/>
        <v>11.05007265554538</v>
      </c>
      <c r="K132" s="188">
        <f t="shared" si="30"/>
        <v>10.368952256941935</v>
      </c>
      <c r="L132" s="189">
        <f t="shared" si="40"/>
        <v>0.68112039860344531</v>
      </c>
      <c r="M132" s="190">
        <f t="shared" si="26"/>
        <v>3.7194008311661877E-2</v>
      </c>
      <c r="N132" s="191">
        <f t="shared" si="27"/>
        <v>0.71831440691510717</v>
      </c>
      <c r="O132" s="190">
        <v>0</v>
      </c>
      <c r="P132" s="190">
        <v>0</v>
      </c>
      <c r="Q132" s="190">
        <v>0</v>
      </c>
      <c r="R132" s="191">
        <f t="shared" si="28"/>
        <v>0.71831440691510717</v>
      </c>
    </row>
    <row r="133" spans="1:18" x14ac:dyDescent="0.2">
      <c r="A133" s="148">
        <v>6</v>
      </c>
      <c r="B133" s="183">
        <f t="shared" si="35"/>
        <v>44713</v>
      </c>
      <c r="C133" s="203">
        <f t="shared" si="37"/>
        <v>44747</v>
      </c>
      <c r="D133" s="203">
        <f t="shared" si="37"/>
        <v>44767</v>
      </c>
      <c r="E133" s="54" t="s">
        <v>15</v>
      </c>
      <c r="F133" s="148">
        <v>9</v>
      </c>
      <c r="G133" s="185">
        <v>14</v>
      </c>
      <c r="H133" s="186">
        <f t="shared" si="25"/>
        <v>1.0368952256941935</v>
      </c>
      <c r="I133" s="186">
        <f t="shared" si="39"/>
        <v>1.105007265554538</v>
      </c>
      <c r="J133" s="187">
        <f t="shared" si="36"/>
        <v>15.470101717763532</v>
      </c>
      <c r="K133" s="188">
        <f t="shared" si="30"/>
        <v>14.516533159718708</v>
      </c>
      <c r="L133" s="193">
        <f t="shared" si="40"/>
        <v>0.95356855804482343</v>
      </c>
      <c r="M133" s="190">
        <f t="shared" si="26"/>
        <v>5.2071611636326627E-2</v>
      </c>
      <c r="N133" s="191">
        <f t="shared" si="27"/>
        <v>1.0056401696811501</v>
      </c>
      <c r="O133" s="190">
        <v>0</v>
      </c>
      <c r="P133" s="190">
        <v>0</v>
      </c>
      <c r="Q133" s="190">
        <v>0</v>
      </c>
      <c r="R133" s="191">
        <f t="shared" si="28"/>
        <v>1.0056401696811501</v>
      </c>
    </row>
    <row r="134" spans="1:18" x14ac:dyDescent="0.2">
      <c r="A134" s="112">
        <v>7</v>
      </c>
      <c r="B134" s="183">
        <f t="shared" si="35"/>
        <v>44743</v>
      </c>
      <c r="C134" s="203">
        <f t="shared" si="37"/>
        <v>44776</v>
      </c>
      <c r="D134" s="203">
        <f t="shared" si="37"/>
        <v>44796</v>
      </c>
      <c r="E134" s="54" t="s">
        <v>15</v>
      </c>
      <c r="F134" s="148">
        <v>9</v>
      </c>
      <c r="G134" s="185">
        <v>18</v>
      </c>
      <c r="H134" s="186">
        <f t="shared" si="25"/>
        <v>1.0368952256941935</v>
      </c>
      <c r="I134" s="186">
        <f t="shared" si="39"/>
        <v>1.105007265554538</v>
      </c>
      <c r="J134" s="187">
        <f t="shared" si="36"/>
        <v>19.890130779981682</v>
      </c>
      <c r="K134" s="194">
        <f t="shared" ref="K134:K197" si="41">+$G134*H134</f>
        <v>18.664114062495482</v>
      </c>
      <c r="L134" s="193">
        <f t="shared" si="40"/>
        <v>1.2260167174861998</v>
      </c>
      <c r="M134" s="190">
        <f t="shared" si="26"/>
        <v>6.6949214960991391E-2</v>
      </c>
      <c r="N134" s="191">
        <f t="shared" si="27"/>
        <v>1.2929659324471912</v>
      </c>
      <c r="O134" s="190">
        <v>0</v>
      </c>
      <c r="P134" s="190">
        <v>0</v>
      </c>
      <c r="Q134" s="190">
        <v>0</v>
      </c>
      <c r="R134" s="191">
        <f t="shared" si="28"/>
        <v>1.2929659324471912</v>
      </c>
    </row>
    <row r="135" spans="1:18" x14ac:dyDescent="0.2">
      <c r="A135" s="148">
        <v>8</v>
      </c>
      <c r="B135" s="183">
        <f t="shared" si="35"/>
        <v>44774</v>
      </c>
      <c r="C135" s="203">
        <f t="shared" si="37"/>
        <v>44809</v>
      </c>
      <c r="D135" s="203">
        <f t="shared" si="37"/>
        <v>44827</v>
      </c>
      <c r="E135" s="54" t="s">
        <v>15</v>
      </c>
      <c r="F135" s="148">
        <v>9</v>
      </c>
      <c r="G135" s="185">
        <v>16</v>
      </c>
      <c r="H135" s="186">
        <f t="shared" si="25"/>
        <v>1.0368952256941935</v>
      </c>
      <c r="I135" s="186">
        <f t="shared" si="39"/>
        <v>1.105007265554538</v>
      </c>
      <c r="J135" s="187">
        <f t="shared" si="36"/>
        <v>17.680116248872608</v>
      </c>
      <c r="K135" s="194">
        <f t="shared" si="41"/>
        <v>16.590323611107095</v>
      </c>
      <c r="L135" s="193">
        <f t="shared" si="40"/>
        <v>1.0897926377655125</v>
      </c>
      <c r="M135" s="190">
        <f t="shared" si="26"/>
        <v>5.9510413298659012E-2</v>
      </c>
      <c r="N135" s="191">
        <f t="shared" si="27"/>
        <v>1.1493030510641715</v>
      </c>
      <c r="O135" s="190">
        <v>0</v>
      </c>
      <c r="P135" s="190">
        <v>0</v>
      </c>
      <c r="Q135" s="190">
        <v>0</v>
      </c>
      <c r="R135" s="191">
        <f t="shared" si="28"/>
        <v>1.1493030510641715</v>
      </c>
    </row>
    <row r="136" spans="1:18" x14ac:dyDescent="0.2">
      <c r="A136" s="148">
        <v>9</v>
      </c>
      <c r="B136" s="183">
        <f t="shared" si="35"/>
        <v>44805</v>
      </c>
      <c r="C136" s="203">
        <f t="shared" si="37"/>
        <v>44839</v>
      </c>
      <c r="D136" s="203">
        <f t="shared" si="37"/>
        <v>44859</v>
      </c>
      <c r="E136" s="54" t="s">
        <v>15</v>
      </c>
      <c r="F136" s="148">
        <v>9</v>
      </c>
      <c r="G136" s="185">
        <v>9</v>
      </c>
      <c r="H136" s="186">
        <f t="shared" si="25"/>
        <v>1.0368952256941935</v>
      </c>
      <c r="I136" s="186">
        <f t="shared" si="39"/>
        <v>1.105007265554538</v>
      </c>
      <c r="J136" s="187">
        <f t="shared" si="36"/>
        <v>9.945065389990841</v>
      </c>
      <c r="K136" s="194">
        <f t="shared" si="41"/>
        <v>9.3320570312477411</v>
      </c>
      <c r="L136" s="193">
        <f t="shared" si="40"/>
        <v>0.61300835874309989</v>
      </c>
      <c r="M136" s="190">
        <f t="shared" si="26"/>
        <v>3.3474607480495695E-2</v>
      </c>
      <c r="N136" s="191">
        <f t="shared" si="27"/>
        <v>0.64648296622359558</v>
      </c>
      <c r="O136" s="190">
        <v>0</v>
      </c>
      <c r="P136" s="190">
        <v>0</v>
      </c>
      <c r="Q136" s="190">
        <v>0</v>
      </c>
      <c r="R136" s="191">
        <f t="shared" si="28"/>
        <v>0.64648296622359558</v>
      </c>
    </row>
    <row r="137" spans="1:18" x14ac:dyDescent="0.2">
      <c r="A137" s="112">
        <v>10</v>
      </c>
      <c r="B137" s="183">
        <f t="shared" si="35"/>
        <v>44835</v>
      </c>
      <c r="C137" s="203">
        <f t="shared" si="37"/>
        <v>44868</v>
      </c>
      <c r="D137" s="203">
        <f t="shared" si="37"/>
        <v>44888</v>
      </c>
      <c r="E137" s="54" t="s">
        <v>15</v>
      </c>
      <c r="F137" s="148">
        <v>9</v>
      </c>
      <c r="G137" s="185">
        <v>6</v>
      </c>
      <c r="H137" s="186">
        <f t="shared" si="25"/>
        <v>1.0368952256941935</v>
      </c>
      <c r="I137" s="186">
        <f t="shared" si="39"/>
        <v>1.105007265554538</v>
      </c>
      <c r="J137" s="187">
        <f t="shared" si="36"/>
        <v>6.6300435933272279</v>
      </c>
      <c r="K137" s="194">
        <f t="shared" si="41"/>
        <v>6.2213713541651607</v>
      </c>
      <c r="L137" s="193">
        <f t="shared" si="40"/>
        <v>0.40867223916206719</v>
      </c>
      <c r="M137" s="190">
        <f t="shared" si="26"/>
        <v>2.2316404986997128E-2</v>
      </c>
      <c r="N137" s="191">
        <f t="shared" si="27"/>
        <v>0.43098864414906429</v>
      </c>
      <c r="O137" s="190">
        <v>0</v>
      </c>
      <c r="P137" s="190">
        <v>0</v>
      </c>
      <c r="Q137" s="190">
        <v>0</v>
      </c>
      <c r="R137" s="191">
        <f t="shared" si="28"/>
        <v>0.43098864414906429</v>
      </c>
    </row>
    <row r="138" spans="1:18" x14ac:dyDescent="0.2">
      <c r="A138" s="148">
        <v>11</v>
      </c>
      <c r="B138" s="183">
        <f t="shared" si="35"/>
        <v>44866</v>
      </c>
      <c r="C138" s="203">
        <f t="shared" si="37"/>
        <v>44900</v>
      </c>
      <c r="D138" s="203">
        <f t="shared" si="37"/>
        <v>44918</v>
      </c>
      <c r="E138" s="54" t="s">
        <v>15</v>
      </c>
      <c r="F138" s="148">
        <v>9</v>
      </c>
      <c r="G138" s="185">
        <v>6</v>
      </c>
      <c r="H138" s="186">
        <f t="shared" si="25"/>
        <v>1.0368952256941935</v>
      </c>
      <c r="I138" s="186">
        <f t="shared" si="39"/>
        <v>1.105007265554538</v>
      </c>
      <c r="J138" s="187">
        <f t="shared" si="36"/>
        <v>6.6300435933272279</v>
      </c>
      <c r="K138" s="194">
        <f t="shared" si="41"/>
        <v>6.2213713541651607</v>
      </c>
      <c r="L138" s="193">
        <f t="shared" si="40"/>
        <v>0.40867223916206719</v>
      </c>
      <c r="M138" s="190">
        <f t="shared" si="26"/>
        <v>2.2316404986997128E-2</v>
      </c>
      <c r="N138" s="191">
        <f t="shared" si="27"/>
        <v>0.43098864414906429</v>
      </c>
      <c r="O138" s="190">
        <v>0</v>
      </c>
      <c r="P138" s="190">
        <v>0</v>
      </c>
      <c r="Q138" s="190">
        <v>0</v>
      </c>
      <c r="R138" s="191">
        <f t="shared" si="28"/>
        <v>0.43098864414906429</v>
      </c>
    </row>
    <row r="139" spans="1:18" s="207" customFormat="1" x14ac:dyDescent="0.2">
      <c r="A139" s="148">
        <v>12</v>
      </c>
      <c r="B139" s="205">
        <f t="shared" si="35"/>
        <v>44896</v>
      </c>
      <c r="C139" s="203">
        <f t="shared" si="37"/>
        <v>44930</v>
      </c>
      <c r="D139" s="203">
        <f t="shared" si="37"/>
        <v>44950</v>
      </c>
      <c r="E139" s="206" t="s">
        <v>15</v>
      </c>
      <c r="F139" s="159">
        <v>9</v>
      </c>
      <c r="G139" s="185">
        <v>8</v>
      </c>
      <c r="H139" s="195">
        <f t="shared" si="25"/>
        <v>1.0368952256941935</v>
      </c>
      <c r="I139" s="195">
        <f t="shared" si="39"/>
        <v>1.105007265554538</v>
      </c>
      <c r="J139" s="196">
        <f t="shared" si="36"/>
        <v>8.8400581244363039</v>
      </c>
      <c r="K139" s="197">
        <f t="shared" si="41"/>
        <v>8.2951618055535477</v>
      </c>
      <c r="L139" s="198">
        <f t="shared" si="40"/>
        <v>0.54489631888275625</v>
      </c>
      <c r="M139" s="190">
        <f t="shared" si="26"/>
        <v>2.9755206649329506E-2</v>
      </c>
      <c r="N139" s="191">
        <f t="shared" si="27"/>
        <v>0.57465152553208576</v>
      </c>
      <c r="O139" s="190">
        <v>0</v>
      </c>
      <c r="P139" s="190">
        <v>0</v>
      </c>
      <c r="Q139" s="190">
        <v>0</v>
      </c>
      <c r="R139" s="191">
        <f t="shared" si="28"/>
        <v>0.57465152553208576</v>
      </c>
    </row>
    <row r="140" spans="1:18" x14ac:dyDescent="0.2">
      <c r="A140" s="112">
        <v>1</v>
      </c>
      <c r="B140" s="183">
        <f t="shared" si="35"/>
        <v>44562</v>
      </c>
      <c r="C140" s="200">
        <f t="shared" ref="C140:D151" si="42">+C128</f>
        <v>44595</v>
      </c>
      <c r="D140" s="200">
        <f t="shared" si="42"/>
        <v>44615</v>
      </c>
      <c r="E140" s="210" t="s">
        <v>16</v>
      </c>
      <c r="F140" s="148">
        <v>9</v>
      </c>
      <c r="G140" s="185">
        <v>3</v>
      </c>
      <c r="H140" s="186">
        <f t="shared" si="25"/>
        <v>1.0368952256941935</v>
      </c>
      <c r="I140" s="186">
        <f t="shared" si="39"/>
        <v>1.105007265554538</v>
      </c>
      <c r="J140" s="187">
        <f t="shared" si="36"/>
        <v>3.315021796663614</v>
      </c>
      <c r="K140" s="188">
        <f t="shared" si="41"/>
        <v>3.1106856770825804</v>
      </c>
      <c r="L140" s="189">
        <f t="shared" si="40"/>
        <v>0.20433611958103359</v>
      </c>
      <c r="M140" s="190">
        <f t="shared" si="26"/>
        <v>1.1158202493498564E-2</v>
      </c>
      <c r="N140" s="191">
        <f t="shared" si="27"/>
        <v>0.21549432207453215</v>
      </c>
      <c r="O140" s="190">
        <v>0</v>
      </c>
      <c r="P140" s="190">
        <v>0</v>
      </c>
      <c r="Q140" s="190">
        <v>0</v>
      </c>
      <c r="R140" s="191">
        <f t="shared" si="28"/>
        <v>0.21549432207453215</v>
      </c>
    </row>
    <row r="141" spans="1:18" x14ac:dyDescent="0.2">
      <c r="A141" s="148">
        <v>2</v>
      </c>
      <c r="B141" s="183">
        <f t="shared" si="35"/>
        <v>44593</v>
      </c>
      <c r="C141" s="203">
        <f t="shared" si="42"/>
        <v>44623</v>
      </c>
      <c r="D141" s="203">
        <f t="shared" si="42"/>
        <v>44642</v>
      </c>
      <c r="E141" s="54" t="s">
        <v>16</v>
      </c>
      <c r="F141" s="148">
        <v>9</v>
      </c>
      <c r="G141" s="185">
        <v>2</v>
      </c>
      <c r="H141" s="186">
        <f t="shared" si="25"/>
        <v>1.0368952256941935</v>
      </c>
      <c r="I141" s="186">
        <f t="shared" si="39"/>
        <v>1.105007265554538</v>
      </c>
      <c r="J141" s="187">
        <f t="shared" si="36"/>
        <v>2.210014531109076</v>
      </c>
      <c r="K141" s="188">
        <f t="shared" si="41"/>
        <v>2.0737904513883869</v>
      </c>
      <c r="L141" s="189">
        <f t="shared" si="40"/>
        <v>0.13622407972068906</v>
      </c>
      <c r="M141" s="190">
        <f t="shared" si="26"/>
        <v>7.4388016623323765E-3</v>
      </c>
      <c r="N141" s="191">
        <f t="shared" si="27"/>
        <v>0.14366288138302144</v>
      </c>
      <c r="O141" s="190">
        <v>0</v>
      </c>
      <c r="P141" s="190">
        <v>0</v>
      </c>
      <c r="Q141" s="190">
        <v>0</v>
      </c>
      <c r="R141" s="191">
        <f t="shared" si="28"/>
        <v>0.14366288138302144</v>
      </c>
    </row>
    <row r="142" spans="1:18" x14ac:dyDescent="0.2">
      <c r="A142" s="148">
        <v>3</v>
      </c>
      <c r="B142" s="183">
        <f t="shared" si="35"/>
        <v>44621</v>
      </c>
      <c r="C142" s="203">
        <f t="shared" si="42"/>
        <v>44656</v>
      </c>
      <c r="D142" s="203">
        <f t="shared" si="42"/>
        <v>44676</v>
      </c>
      <c r="E142" s="54" t="s">
        <v>16</v>
      </c>
      <c r="F142" s="148">
        <v>9</v>
      </c>
      <c r="G142" s="185">
        <v>3</v>
      </c>
      <c r="H142" s="186">
        <f t="shared" si="25"/>
        <v>1.0368952256941935</v>
      </c>
      <c r="I142" s="186">
        <f t="shared" si="39"/>
        <v>1.105007265554538</v>
      </c>
      <c r="J142" s="187">
        <f t="shared" si="36"/>
        <v>3.315021796663614</v>
      </c>
      <c r="K142" s="188">
        <f t="shared" si="41"/>
        <v>3.1106856770825804</v>
      </c>
      <c r="L142" s="189">
        <f>+J142-K142</f>
        <v>0.20433611958103359</v>
      </c>
      <c r="M142" s="190">
        <f t="shared" si="26"/>
        <v>1.1158202493498564E-2</v>
      </c>
      <c r="N142" s="191">
        <f t="shared" si="27"/>
        <v>0.21549432207453215</v>
      </c>
      <c r="O142" s="190">
        <v>0</v>
      </c>
      <c r="P142" s="190">
        <v>0</v>
      </c>
      <c r="Q142" s="190">
        <v>0</v>
      </c>
      <c r="R142" s="191">
        <f t="shared" si="28"/>
        <v>0.21549432207453215</v>
      </c>
    </row>
    <row r="143" spans="1:18" x14ac:dyDescent="0.2">
      <c r="A143" s="112">
        <v>4</v>
      </c>
      <c r="B143" s="183">
        <f t="shared" si="35"/>
        <v>44652</v>
      </c>
      <c r="C143" s="203">
        <f t="shared" si="42"/>
        <v>44685</v>
      </c>
      <c r="D143" s="203">
        <f t="shared" si="42"/>
        <v>44705</v>
      </c>
      <c r="E143" s="54" t="s">
        <v>16</v>
      </c>
      <c r="F143" s="148">
        <v>9</v>
      </c>
      <c r="G143" s="185">
        <v>2</v>
      </c>
      <c r="H143" s="186">
        <f t="shared" si="25"/>
        <v>1.0368952256941935</v>
      </c>
      <c r="I143" s="186">
        <f t="shared" si="39"/>
        <v>1.105007265554538</v>
      </c>
      <c r="J143" s="187">
        <f t="shared" si="36"/>
        <v>2.210014531109076</v>
      </c>
      <c r="K143" s="188">
        <f t="shared" si="41"/>
        <v>2.0737904513883869</v>
      </c>
      <c r="L143" s="189">
        <f t="shared" ref="L143:L153" si="43">+J143-K143</f>
        <v>0.13622407972068906</v>
      </c>
      <c r="M143" s="190">
        <f t="shared" si="26"/>
        <v>7.4388016623323765E-3</v>
      </c>
      <c r="N143" s="191">
        <f t="shared" si="27"/>
        <v>0.14366288138302144</v>
      </c>
      <c r="O143" s="190">
        <v>0</v>
      </c>
      <c r="P143" s="190">
        <v>0</v>
      </c>
      <c r="Q143" s="190">
        <v>0</v>
      </c>
      <c r="R143" s="191">
        <f t="shared" si="28"/>
        <v>0.14366288138302144</v>
      </c>
    </row>
    <row r="144" spans="1:18" x14ac:dyDescent="0.2">
      <c r="A144" s="148">
        <v>5</v>
      </c>
      <c r="B144" s="183">
        <f t="shared" si="35"/>
        <v>44682</v>
      </c>
      <c r="C144" s="203">
        <f t="shared" si="42"/>
        <v>44715</v>
      </c>
      <c r="D144" s="203">
        <f t="shared" si="42"/>
        <v>44735</v>
      </c>
      <c r="E144" s="54" t="s">
        <v>16</v>
      </c>
      <c r="F144" s="148">
        <v>9</v>
      </c>
      <c r="G144" s="185">
        <v>3</v>
      </c>
      <c r="H144" s="186">
        <f t="shared" si="25"/>
        <v>1.0368952256941935</v>
      </c>
      <c r="I144" s="186">
        <f t="shared" si="39"/>
        <v>1.105007265554538</v>
      </c>
      <c r="J144" s="187">
        <f t="shared" si="36"/>
        <v>3.315021796663614</v>
      </c>
      <c r="K144" s="188">
        <f t="shared" si="41"/>
        <v>3.1106856770825804</v>
      </c>
      <c r="L144" s="189">
        <f t="shared" si="43"/>
        <v>0.20433611958103359</v>
      </c>
      <c r="M144" s="190">
        <f t="shared" si="26"/>
        <v>1.1158202493498564E-2</v>
      </c>
      <c r="N144" s="191">
        <f t="shared" si="27"/>
        <v>0.21549432207453215</v>
      </c>
      <c r="O144" s="190">
        <v>0</v>
      </c>
      <c r="P144" s="190">
        <v>0</v>
      </c>
      <c r="Q144" s="190">
        <v>0</v>
      </c>
      <c r="R144" s="191">
        <f t="shared" si="28"/>
        <v>0.21549432207453215</v>
      </c>
    </row>
    <row r="145" spans="1:19" x14ac:dyDescent="0.2">
      <c r="A145" s="148">
        <v>6</v>
      </c>
      <c r="B145" s="183">
        <f t="shared" si="35"/>
        <v>44713</v>
      </c>
      <c r="C145" s="203">
        <f t="shared" si="42"/>
        <v>44747</v>
      </c>
      <c r="D145" s="203">
        <f t="shared" si="42"/>
        <v>44767</v>
      </c>
      <c r="E145" s="54" t="s">
        <v>16</v>
      </c>
      <c r="F145" s="148">
        <v>9</v>
      </c>
      <c r="G145" s="185">
        <v>5</v>
      </c>
      <c r="H145" s="186">
        <f t="shared" si="25"/>
        <v>1.0368952256941935</v>
      </c>
      <c r="I145" s="186">
        <f t="shared" si="39"/>
        <v>1.105007265554538</v>
      </c>
      <c r="J145" s="187">
        <f t="shared" si="36"/>
        <v>5.5250363277726899</v>
      </c>
      <c r="K145" s="188">
        <f t="shared" si="41"/>
        <v>5.1844761284709673</v>
      </c>
      <c r="L145" s="193">
        <f t="shared" si="43"/>
        <v>0.34056019930172265</v>
      </c>
      <c r="M145" s="190">
        <f t="shared" si="26"/>
        <v>1.8597004155830939E-2</v>
      </c>
      <c r="N145" s="191">
        <f t="shared" si="27"/>
        <v>0.35915720345755359</v>
      </c>
      <c r="O145" s="190">
        <v>0</v>
      </c>
      <c r="P145" s="190">
        <v>0</v>
      </c>
      <c r="Q145" s="190">
        <v>0</v>
      </c>
      <c r="R145" s="191">
        <f t="shared" si="28"/>
        <v>0.35915720345755359</v>
      </c>
    </row>
    <row r="146" spans="1:19" x14ac:dyDescent="0.2">
      <c r="A146" s="112">
        <v>7</v>
      </c>
      <c r="B146" s="183">
        <f t="shared" si="35"/>
        <v>44743</v>
      </c>
      <c r="C146" s="203">
        <f t="shared" si="42"/>
        <v>44776</v>
      </c>
      <c r="D146" s="203">
        <f t="shared" si="42"/>
        <v>44796</v>
      </c>
      <c r="E146" s="54" t="s">
        <v>16</v>
      </c>
      <c r="F146" s="148">
        <v>9</v>
      </c>
      <c r="G146" s="185">
        <v>6</v>
      </c>
      <c r="H146" s="186">
        <f t="shared" si="25"/>
        <v>1.0368952256941935</v>
      </c>
      <c r="I146" s="186">
        <f t="shared" si="39"/>
        <v>1.105007265554538</v>
      </c>
      <c r="J146" s="187">
        <f t="shared" si="36"/>
        <v>6.6300435933272279</v>
      </c>
      <c r="K146" s="194">
        <f t="shared" si="41"/>
        <v>6.2213713541651607</v>
      </c>
      <c r="L146" s="193">
        <f t="shared" si="43"/>
        <v>0.40867223916206719</v>
      </c>
      <c r="M146" s="190">
        <f t="shared" si="26"/>
        <v>2.2316404986997128E-2</v>
      </c>
      <c r="N146" s="191">
        <f t="shared" si="27"/>
        <v>0.43098864414906429</v>
      </c>
      <c r="O146" s="190">
        <v>0</v>
      </c>
      <c r="P146" s="190">
        <v>0</v>
      </c>
      <c r="Q146" s="190">
        <v>0</v>
      </c>
      <c r="R146" s="191">
        <f t="shared" si="28"/>
        <v>0.43098864414906429</v>
      </c>
    </row>
    <row r="147" spans="1:19" x14ac:dyDescent="0.2">
      <c r="A147" s="148">
        <v>8</v>
      </c>
      <c r="B147" s="183">
        <f t="shared" si="35"/>
        <v>44774</v>
      </c>
      <c r="C147" s="203">
        <f t="shared" si="42"/>
        <v>44809</v>
      </c>
      <c r="D147" s="203">
        <f t="shared" si="42"/>
        <v>44827</v>
      </c>
      <c r="E147" s="54" t="s">
        <v>16</v>
      </c>
      <c r="F147" s="148">
        <v>9</v>
      </c>
      <c r="G147" s="185">
        <v>6</v>
      </c>
      <c r="H147" s="186">
        <f t="shared" si="25"/>
        <v>1.0368952256941935</v>
      </c>
      <c r="I147" s="186">
        <f t="shared" si="39"/>
        <v>1.105007265554538</v>
      </c>
      <c r="J147" s="187">
        <f t="shared" si="36"/>
        <v>6.6300435933272279</v>
      </c>
      <c r="K147" s="194">
        <f t="shared" si="41"/>
        <v>6.2213713541651607</v>
      </c>
      <c r="L147" s="193">
        <f t="shared" si="43"/>
        <v>0.40867223916206719</v>
      </c>
      <c r="M147" s="190">
        <f t="shared" si="26"/>
        <v>2.2316404986997128E-2</v>
      </c>
      <c r="N147" s="191">
        <f t="shared" si="27"/>
        <v>0.43098864414906429</v>
      </c>
      <c r="O147" s="190">
        <v>0</v>
      </c>
      <c r="P147" s="190">
        <v>0</v>
      </c>
      <c r="Q147" s="190">
        <v>0</v>
      </c>
      <c r="R147" s="191">
        <f t="shared" si="28"/>
        <v>0.43098864414906429</v>
      </c>
    </row>
    <row r="148" spans="1:19" x14ac:dyDescent="0.2">
      <c r="A148" s="148">
        <v>9</v>
      </c>
      <c r="B148" s="183">
        <f t="shared" si="35"/>
        <v>44805</v>
      </c>
      <c r="C148" s="203">
        <f t="shared" si="42"/>
        <v>44839</v>
      </c>
      <c r="D148" s="203">
        <f t="shared" si="42"/>
        <v>44859</v>
      </c>
      <c r="E148" s="54" t="s">
        <v>16</v>
      </c>
      <c r="F148" s="148">
        <v>9</v>
      </c>
      <c r="G148" s="185">
        <v>3</v>
      </c>
      <c r="H148" s="186">
        <f t="shared" si="25"/>
        <v>1.0368952256941935</v>
      </c>
      <c r="I148" s="186">
        <f t="shared" ref="I148:I179" si="44">$J$3</f>
        <v>1.105007265554538</v>
      </c>
      <c r="J148" s="187">
        <f t="shared" si="36"/>
        <v>3.315021796663614</v>
      </c>
      <c r="K148" s="194">
        <f t="shared" si="41"/>
        <v>3.1106856770825804</v>
      </c>
      <c r="L148" s="193">
        <f t="shared" si="43"/>
        <v>0.20433611958103359</v>
      </c>
      <c r="M148" s="190">
        <f t="shared" si="26"/>
        <v>1.1158202493498564E-2</v>
      </c>
      <c r="N148" s="191">
        <f t="shared" si="27"/>
        <v>0.21549432207453215</v>
      </c>
      <c r="O148" s="190">
        <v>0</v>
      </c>
      <c r="P148" s="190">
        <v>0</v>
      </c>
      <c r="Q148" s="190">
        <v>0</v>
      </c>
      <c r="R148" s="191">
        <f t="shared" si="28"/>
        <v>0.21549432207453215</v>
      </c>
    </row>
    <row r="149" spans="1:19" x14ac:dyDescent="0.2">
      <c r="A149" s="112">
        <v>10</v>
      </c>
      <c r="B149" s="183">
        <f t="shared" ref="B149:B211" si="45">DATE($R$1,A149,1)</f>
        <v>44835</v>
      </c>
      <c r="C149" s="203">
        <f t="shared" si="42"/>
        <v>44868</v>
      </c>
      <c r="D149" s="203">
        <f t="shared" si="42"/>
        <v>44888</v>
      </c>
      <c r="E149" s="54" t="s">
        <v>16</v>
      </c>
      <c r="F149" s="148">
        <v>9</v>
      </c>
      <c r="G149" s="185">
        <v>2</v>
      </c>
      <c r="H149" s="186">
        <f t="shared" ref="H149:H211" si="46">+$K$3</f>
        <v>1.0368952256941935</v>
      </c>
      <c r="I149" s="186">
        <f t="shared" si="44"/>
        <v>1.105007265554538</v>
      </c>
      <c r="J149" s="187">
        <f t="shared" ref="J149:J211" si="47">+$G149*I149</f>
        <v>2.210014531109076</v>
      </c>
      <c r="K149" s="194">
        <f t="shared" si="41"/>
        <v>2.0737904513883869</v>
      </c>
      <c r="L149" s="193">
        <f t="shared" si="43"/>
        <v>0.13622407972068906</v>
      </c>
      <c r="M149" s="190">
        <f t="shared" ref="M149:M211" si="48">G149/$G$212*$M$14</f>
        <v>7.4388016623323765E-3</v>
      </c>
      <c r="N149" s="191">
        <f t="shared" ref="N149:N211" si="49">SUM(L149:M149)</f>
        <v>0.14366288138302144</v>
      </c>
      <c r="O149" s="190">
        <v>0</v>
      </c>
      <c r="P149" s="190">
        <v>0</v>
      </c>
      <c r="Q149" s="190">
        <v>0</v>
      </c>
      <c r="R149" s="191">
        <f t="shared" ref="R149:R211" si="50">+N149-Q149</f>
        <v>0.14366288138302144</v>
      </c>
    </row>
    <row r="150" spans="1:19" x14ac:dyDescent="0.2">
      <c r="A150" s="148">
        <v>11</v>
      </c>
      <c r="B150" s="183">
        <f t="shared" si="45"/>
        <v>44866</v>
      </c>
      <c r="C150" s="203">
        <f t="shared" si="42"/>
        <v>44900</v>
      </c>
      <c r="D150" s="203">
        <f t="shared" si="42"/>
        <v>44918</v>
      </c>
      <c r="E150" s="54" t="s">
        <v>16</v>
      </c>
      <c r="F150" s="148">
        <v>9</v>
      </c>
      <c r="G150" s="185">
        <v>1</v>
      </c>
      <c r="H150" s="186">
        <f t="shared" si="46"/>
        <v>1.0368952256941935</v>
      </c>
      <c r="I150" s="186">
        <f t="shared" si="44"/>
        <v>1.105007265554538</v>
      </c>
      <c r="J150" s="187">
        <f t="shared" si="47"/>
        <v>1.105007265554538</v>
      </c>
      <c r="K150" s="194">
        <f t="shared" si="41"/>
        <v>1.0368952256941935</v>
      </c>
      <c r="L150" s="193">
        <f t="shared" si="43"/>
        <v>6.8112039860344531E-2</v>
      </c>
      <c r="M150" s="190">
        <f t="shared" si="48"/>
        <v>3.7194008311661883E-3</v>
      </c>
      <c r="N150" s="191">
        <f t="shared" si="49"/>
        <v>7.183144069151072E-2</v>
      </c>
      <c r="O150" s="190">
        <v>0</v>
      </c>
      <c r="P150" s="190">
        <v>0</v>
      </c>
      <c r="Q150" s="190">
        <v>0</v>
      </c>
      <c r="R150" s="191">
        <f t="shared" si="50"/>
        <v>7.183144069151072E-2</v>
      </c>
    </row>
    <row r="151" spans="1:19" s="207" customFormat="1" x14ac:dyDescent="0.2">
      <c r="A151" s="148">
        <v>12</v>
      </c>
      <c r="B151" s="205">
        <f t="shared" si="45"/>
        <v>44896</v>
      </c>
      <c r="C151" s="203">
        <f t="shared" si="42"/>
        <v>44930</v>
      </c>
      <c r="D151" s="203">
        <f t="shared" si="42"/>
        <v>44950</v>
      </c>
      <c r="E151" s="206" t="s">
        <v>16</v>
      </c>
      <c r="F151" s="159">
        <v>9</v>
      </c>
      <c r="G151" s="185">
        <v>4</v>
      </c>
      <c r="H151" s="195">
        <f t="shared" si="46"/>
        <v>1.0368952256941935</v>
      </c>
      <c r="I151" s="195">
        <f t="shared" si="44"/>
        <v>1.105007265554538</v>
      </c>
      <c r="J151" s="196">
        <f t="shared" si="47"/>
        <v>4.4200290622181519</v>
      </c>
      <c r="K151" s="197">
        <f t="shared" si="41"/>
        <v>4.1475809027767738</v>
      </c>
      <c r="L151" s="198">
        <f t="shared" si="43"/>
        <v>0.27244815944137812</v>
      </c>
      <c r="M151" s="190">
        <f t="shared" si="48"/>
        <v>1.4877603324664753E-2</v>
      </c>
      <c r="N151" s="191">
        <f t="shared" si="49"/>
        <v>0.28732576276604288</v>
      </c>
      <c r="O151" s="190">
        <v>0</v>
      </c>
      <c r="P151" s="190">
        <v>0</v>
      </c>
      <c r="Q151" s="190">
        <v>0</v>
      </c>
      <c r="R151" s="191">
        <f t="shared" si="50"/>
        <v>0.28732576276604288</v>
      </c>
    </row>
    <row r="152" spans="1:19" x14ac:dyDescent="0.2">
      <c r="A152" s="112">
        <v>1</v>
      </c>
      <c r="B152" s="183">
        <f t="shared" si="45"/>
        <v>44562</v>
      </c>
      <c r="C152" s="200">
        <f t="shared" ref="C152:D171" si="51">+C140</f>
        <v>44595</v>
      </c>
      <c r="D152" s="200">
        <f t="shared" si="51"/>
        <v>44615</v>
      </c>
      <c r="E152" s="210" t="s">
        <v>56</v>
      </c>
      <c r="F152" s="112">
        <v>9</v>
      </c>
      <c r="G152" s="185">
        <v>121</v>
      </c>
      <c r="H152" s="186">
        <f t="shared" si="46"/>
        <v>1.0368952256941935</v>
      </c>
      <c r="I152" s="186">
        <f t="shared" si="44"/>
        <v>1.105007265554538</v>
      </c>
      <c r="J152" s="187">
        <f t="shared" si="47"/>
        <v>133.70587913209908</v>
      </c>
      <c r="K152" s="188">
        <f t="shared" si="41"/>
        <v>125.46432230899741</v>
      </c>
      <c r="L152" s="189">
        <f t="shared" si="43"/>
        <v>8.2415568231016749</v>
      </c>
      <c r="M152" s="190">
        <f t="shared" si="48"/>
        <v>0.45004750057110876</v>
      </c>
      <c r="N152" s="191">
        <f t="shared" si="49"/>
        <v>8.6916043236727845</v>
      </c>
      <c r="O152" s="190">
        <v>0</v>
      </c>
      <c r="P152" s="190">
        <v>0</v>
      </c>
      <c r="Q152" s="190">
        <v>0</v>
      </c>
      <c r="R152" s="191">
        <f t="shared" si="50"/>
        <v>8.6916043236727845</v>
      </c>
    </row>
    <row r="153" spans="1:19" x14ac:dyDescent="0.2">
      <c r="A153" s="148">
        <v>2</v>
      </c>
      <c r="B153" s="183">
        <f t="shared" si="45"/>
        <v>44593</v>
      </c>
      <c r="C153" s="203">
        <f t="shared" si="51"/>
        <v>44623</v>
      </c>
      <c r="D153" s="203">
        <f t="shared" si="51"/>
        <v>44642</v>
      </c>
      <c r="E153" s="211" t="s">
        <v>56</v>
      </c>
      <c r="F153" s="148">
        <v>9</v>
      </c>
      <c r="G153" s="185">
        <v>109</v>
      </c>
      <c r="H153" s="186">
        <f t="shared" si="46"/>
        <v>1.0368952256941935</v>
      </c>
      <c r="I153" s="186">
        <f t="shared" si="44"/>
        <v>1.105007265554538</v>
      </c>
      <c r="J153" s="187">
        <f t="shared" si="47"/>
        <v>120.44579194544464</v>
      </c>
      <c r="K153" s="188">
        <f t="shared" si="41"/>
        <v>113.02157960066708</v>
      </c>
      <c r="L153" s="189">
        <f t="shared" si="43"/>
        <v>7.4242123447775583</v>
      </c>
      <c r="M153" s="190">
        <f t="shared" si="48"/>
        <v>0.40541469059711449</v>
      </c>
      <c r="N153" s="191">
        <f t="shared" si="49"/>
        <v>7.8296270353746724</v>
      </c>
      <c r="O153" s="190">
        <v>0</v>
      </c>
      <c r="P153" s="190">
        <v>0</v>
      </c>
      <c r="Q153" s="190">
        <v>0</v>
      </c>
      <c r="R153" s="191">
        <f t="shared" si="50"/>
        <v>7.8296270353746724</v>
      </c>
    </row>
    <row r="154" spans="1:19" x14ac:dyDescent="0.2">
      <c r="A154" s="148">
        <v>3</v>
      </c>
      <c r="B154" s="183">
        <f t="shared" si="45"/>
        <v>44621</v>
      </c>
      <c r="C154" s="203">
        <f t="shared" si="51"/>
        <v>44656</v>
      </c>
      <c r="D154" s="203">
        <f t="shared" si="51"/>
        <v>44676</v>
      </c>
      <c r="E154" s="211" t="s">
        <v>56</v>
      </c>
      <c r="F154" s="148">
        <v>9</v>
      </c>
      <c r="G154" s="185">
        <v>95</v>
      </c>
      <c r="H154" s="186">
        <f t="shared" si="46"/>
        <v>1.0368952256941935</v>
      </c>
      <c r="I154" s="186">
        <f t="shared" si="44"/>
        <v>1.105007265554538</v>
      </c>
      <c r="J154" s="187">
        <f t="shared" si="47"/>
        <v>104.97569022768111</v>
      </c>
      <c r="K154" s="188">
        <f t="shared" si="41"/>
        <v>98.505046440948377</v>
      </c>
      <c r="L154" s="189">
        <f>+J154-K154</f>
        <v>6.4706437867327367</v>
      </c>
      <c r="M154" s="190">
        <f t="shared" si="48"/>
        <v>0.35334307896078787</v>
      </c>
      <c r="N154" s="191">
        <f t="shared" si="49"/>
        <v>6.8239868656935245</v>
      </c>
      <c r="O154" s="190">
        <v>0</v>
      </c>
      <c r="P154" s="190">
        <v>0</v>
      </c>
      <c r="Q154" s="190">
        <v>0</v>
      </c>
      <c r="R154" s="191">
        <f t="shared" si="50"/>
        <v>6.8239868656935245</v>
      </c>
    </row>
    <row r="155" spans="1:19" x14ac:dyDescent="0.2">
      <c r="A155" s="112">
        <v>4</v>
      </c>
      <c r="B155" s="183">
        <f t="shared" si="45"/>
        <v>44652</v>
      </c>
      <c r="C155" s="203">
        <f t="shared" si="51"/>
        <v>44685</v>
      </c>
      <c r="D155" s="203">
        <f t="shared" si="51"/>
        <v>44705</v>
      </c>
      <c r="E155" s="211" t="s">
        <v>56</v>
      </c>
      <c r="F155" s="148">
        <v>9</v>
      </c>
      <c r="G155" s="185">
        <v>93</v>
      </c>
      <c r="H155" s="186">
        <f t="shared" si="46"/>
        <v>1.0368952256941935</v>
      </c>
      <c r="I155" s="186">
        <f t="shared" si="44"/>
        <v>1.105007265554538</v>
      </c>
      <c r="J155" s="187">
        <f t="shared" si="47"/>
        <v>102.76567569657203</v>
      </c>
      <c r="K155" s="188">
        <f t="shared" si="41"/>
        <v>96.431255989559986</v>
      </c>
      <c r="L155" s="189">
        <f t="shared" ref="L155:L165" si="52">+J155-K155</f>
        <v>6.3344197070120458</v>
      </c>
      <c r="M155" s="190">
        <f t="shared" si="48"/>
        <v>0.34590427729845546</v>
      </c>
      <c r="N155" s="191">
        <f t="shared" si="49"/>
        <v>6.6803239843105011</v>
      </c>
      <c r="O155" s="190">
        <v>0</v>
      </c>
      <c r="P155" s="190">
        <v>0</v>
      </c>
      <c r="Q155" s="190">
        <v>0</v>
      </c>
      <c r="R155" s="191">
        <f t="shared" si="50"/>
        <v>6.6803239843105011</v>
      </c>
    </row>
    <row r="156" spans="1:19" x14ac:dyDescent="0.2">
      <c r="A156" s="148">
        <v>5</v>
      </c>
      <c r="B156" s="183">
        <f t="shared" si="45"/>
        <v>44682</v>
      </c>
      <c r="C156" s="203">
        <f t="shared" si="51"/>
        <v>44715</v>
      </c>
      <c r="D156" s="203">
        <f t="shared" si="51"/>
        <v>44735</v>
      </c>
      <c r="E156" s="211" t="s">
        <v>56</v>
      </c>
      <c r="F156" s="148">
        <v>9</v>
      </c>
      <c r="G156" s="185">
        <v>125</v>
      </c>
      <c r="H156" s="186">
        <f t="shared" si="46"/>
        <v>1.0368952256941935</v>
      </c>
      <c r="I156" s="186">
        <f t="shared" si="44"/>
        <v>1.105007265554538</v>
      </c>
      <c r="J156" s="187">
        <f t="shared" si="47"/>
        <v>138.12590819431725</v>
      </c>
      <c r="K156" s="188">
        <f t="shared" si="41"/>
        <v>129.61190321177418</v>
      </c>
      <c r="L156" s="189">
        <f t="shared" si="52"/>
        <v>8.5140049825430708</v>
      </c>
      <c r="M156" s="190">
        <f t="shared" si="48"/>
        <v>0.46492510389577346</v>
      </c>
      <c r="N156" s="191">
        <f t="shared" si="49"/>
        <v>8.9789300864388437</v>
      </c>
      <c r="O156" s="190">
        <v>0</v>
      </c>
      <c r="P156" s="190">
        <v>0</v>
      </c>
      <c r="Q156" s="190">
        <v>0</v>
      </c>
      <c r="R156" s="191">
        <f t="shared" si="50"/>
        <v>8.9789300864388437</v>
      </c>
    </row>
    <row r="157" spans="1:19" x14ac:dyDescent="0.2">
      <c r="A157" s="148">
        <v>6</v>
      </c>
      <c r="B157" s="183">
        <f t="shared" si="45"/>
        <v>44713</v>
      </c>
      <c r="C157" s="203">
        <f t="shared" si="51"/>
        <v>44747</v>
      </c>
      <c r="D157" s="203">
        <f t="shared" si="51"/>
        <v>44767</v>
      </c>
      <c r="E157" s="211" t="s">
        <v>56</v>
      </c>
      <c r="F157" s="148">
        <v>9</v>
      </c>
      <c r="G157" s="185">
        <v>159</v>
      </c>
      <c r="H157" s="186">
        <f t="shared" si="46"/>
        <v>1.0368952256941935</v>
      </c>
      <c r="I157" s="186">
        <f t="shared" si="44"/>
        <v>1.105007265554538</v>
      </c>
      <c r="J157" s="187">
        <f t="shared" si="47"/>
        <v>175.69615522317153</v>
      </c>
      <c r="K157" s="188">
        <f t="shared" si="41"/>
        <v>164.86634088537676</v>
      </c>
      <c r="L157" s="193">
        <f t="shared" si="52"/>
        <v>10.829814337794772</v>
      </c>
      <c r="M157" s="190">
        <f t="shared" si="48"/>
        <v>0.59138473215542398</v>
      </c>
      <c r="N157" s="191">
        <f t="shared" si="49"/>
        <v>11.421199069950196</v>
      </c>
      <c r="O157" s="190">
        <v>0</v>
      </c>
      <c r="P157" s="190">
        <v>0</v>
      </c>
      <c r="Q157" s="190">
        <v>0</v>
      </c>
      <c r="R157" s="191">
        <f t="shared" si="50"/>
        <v>11.421199069950196</v>
      </c>
    </row>
    <row r="158" spans="1:19" x14ac:dyDescent="0.2">
      <c r="A158" s="112">
        <v>7</v>
      </c>
      <c r="B158" s="183">
        <f t="shared" si="45"/>
        <v>44743</v>
      </c>
      <c r="C158" s="203">
        <f t="shared" si="51"/>
        <v>44776</v>
      </c>
      <c r="D158" s="203">
        <f t="shared" si="51"/>
        <v>44796</v>
      </c>
      <c r="E158" s="211" t="s">
        <v>56</v>
      </c>
      <c r="F158" s="148">
        <v>9</v>
      </c>
      <c r="G158" s="185">
        <v>176</v>
      </c>
      <c r="H158" s="186">
        <f t="shared" si="46"/>
        <v>1.0368952256941935</v>
      </c>
      <c r="I158" s="186">
        <f t="shared" si="44"/>
        <v>1.105007265554538</v>
      </c>
      <c r="J158" s="187">
        <f t="shared" si="47"/>
        <v>194.4812787375987</v>
      </c>
      <c r="K158" s="194">
        <f t="shared" si="41"/>
        <v>182.49355972217805</v>
      </c>
      <c r="L158" s="193">
        <f t="shared" si="52"/>
        <v>11.987719015420652</v>
      </c>
      <c r="M158" s="190">
        <f t="shared" si="48"/>
        <v>0.65461454628524907</v>
      </c>
      <c r="N158" s="191">
        <f t="shared" si="49"/>
        <v>12.6423335617059</v>
      </c>
      <c r="O158" s="190">
        <v>0</v>
      </c>
      <c r="P158" s="190">
        <v>0</v>
      </c>
      <c r="Q158" s="190">
        <v>0</v>
      </c>
      <c r="R158" s="191">
        <f t="shared" si="50"/>
        <v>12.6423335617059</v>
      </c>
    </row>
    <row r="159" spans="1:19" x14ac:dyDescent="0.2">
      <c r="A159" s="148">
        <v>8</v>
      </c>
      <c r="B159" s="183">
        <f t="shared" si="45"/>
        <v>44774</v>
      </c>
      <c r="C159" s="203">
        <f t="shared" si="51"/>
        <v>44809</v>
      </c>
      <c r="D159" s="203">
        <f t="shared" si="51"/>
        <v>44827</v>
      </c>
      <c r="E159" s="211" t="s">
        <v>56</v>
      </c>
      <c r="F159" s="112">
        <v>9</v>
      </c>
      <c r="G159" s="185">
        <v>167</v>
      </c>
      <c r="H159" s="186">
        <f t="shared" si="46"/>
        <v>1.0368952256941935</v>
      </c>
      <c r="I159" s="186">
        <f t="shared" si="44"/>
        <v>1.105007265554538</v>
      </c>
      <c r="J159" s="187">
        <f t="shared" si="47"/>
        <v>184.53621334760786</v>
      </c>
      <c r="K159" s="194">
        <f t="shared" si="41"/>
        <v>173.16150269093032</v>
      </c>
      <c r="L159" s="193">
        <f t="shared" si="52"/>
        <v>11.374710656677536</v>
      </c>
      <c r="M159" s="190">
        <f t="shared" si="48"/>
        <v>0.62113993880475338</v>
      </c>
      <c r="N159" s="191">
        <f t="shared" si="49"/>
        <v>11.995850595482288</v>
      </c>
      <c r="O159" s="190">
        <v>0</v>
      </c>
      <c r="P159" s="190">
        <v>0</v>
      </c>
      <c r="Q159" s="190">
        <v>0</v>
      </c>
      <c r="R159" s="191">
        <f t="shared" si="50"/>
        <v>11.995850595482288</v>
      </c>
      <c r="S159" s="52"/>
    </row>
    <row r="160" spans="1:19" x14ac:dyDescent="0.2">
      <c r="A160" s="148">
        <v>9</v>
      </c>
      <c r="B160" s="183">
        <f t="shared" si="45"/>
        <v>44805</v>
      </c>
      <c r="C160" s="203">
        <f t="shared" si="51"/>
        <v>44839</v>
      </c>
      <c r="D160" s="203">
        <f t="shared" si="51"/>
        <v>44859</v>
      </c>
      <c r="E160" s="211" t="s">
        <v>56</v>
      </c>
      <c r="F160" s="112">
        <v>9</v>
      </c>
      <c r="G160" s="185">
        <v>153</v>
      </c>
      <c r="H160" s="186">
        <f t="shared" si="46"/>
        <v>1.0368952256941935</v>
      </c>
      <c r="I160" s="186">
        <f t="shared" si="44"/>
        <v>1.105007265554538</v>
      </c>
      <c r="J160" s="187">
        <f t="shared" si="47"/>
        <v>169.0661116298443</v>
      </c>
      <c r="K160" s="194">
        <f t="shared" si="41"/>
        <v>158.64496953121159</v>
      </c>
      <c r="L160" s="193">
        <f t="shared" si="52"/>
        <v>10.421142098632714</v>
      </c>
      <c r="M160" s="190">
        <f t="shared" si="48"/>
        <v>0.5690683271684267</v>
      </c>
      <c r="N160" s="191">
        <f t="shared" si="49"/>
        <v>10.990210425801141</v>
      </c>
      <c r="O160" s="190">
        <v>0</v>
      </c>
      <c r="P160" s="190">
        <v>0</v>
      </c>
      <c r="Q160" s="190">
        <v>0</v>
      </c>
      <c r="R160" s="191">
        <f t="shared" si="50"/>
        <v>10.990210425801141</v>
      </c>
    </row>
    <row r="161" spans="1:19" x14ac:dyDescent="0.2">
      <c r="A161" s="112">
        <v>10</v>
      </c>
      <c r="B161" s="183">
        <f t="shared" si="45"/>
        <v>44835</v>
      </c>
      <c r="C161" s="203">
        <f t="shared" si="51"/>
        <v>44868</v>
      </c>
      <c r="D161" s="203">
        <f t="shared" si="51"/>
        <v>44888</v>
      </c>
      <c r="E161" s="211" t="s">
        <v>56</v>
      </c>
      <c r="F161" s="112">
        <v>9</v>
      </c>
      <c r="G161" s="185">
        <v>104</v>
      </c>
      <c r="H161" s="186">
        <f t="shared" si="46"/>
        <v>1.0368952256941935</v>
      </c>
      <c r="I161" s="186">
        <f t="shared" si="44"/>
        <v>1.105007265554538</v>
      </c>
      <c r="J161" s="187">
        <f t="shared" si="47"/>
        <v>114.92075561767194</v>
      </c>
      <c r="K161" s="194">
        <f t="shared" si="41"/>
        <v>107.83710347219612</v>
      </c>
      <c r="L161" s="193">
        <f t="shared" si="52"/>
        <v>7.0836521454758241</v>
      </c>
      <c r="M161" s="190">
        <f t="shared" si="48"/>
        <v>0.3868176864412835</v>
      </c>
      <c r="N161" s="191">
        <f t="shared" si="49"/>
        <v>7.4704698319171072</v>
      </c>
      <c r="O161" s="190">
        <v>0</v>
      </c>
      <c r="P161" s="190">
        <v>0</v>
      </c>
      <c r="Q161" s="190">
        <v>0</v>
      </c>
      <c r="R161" s="191">
        <f t="shared" si="50"/>
        <v>7.4704698319171072</v>
      </c>
    </row>
    <row r="162" spans="1:19" x14ac:dyDescent="0.2">
      <c r="A162" s="148">
        <v>11</v>
      </c>
      <c r="B162" s="183">
        <f t="shared" si="45"/>
        <v>44866</v>
      </c>
      <c r="C162" s="203">
        <f t="shared" si="51"/>
        <v>44900</v>
      </c>
      <c r="D162" s="203">
        <f t="shared" si="51"/>
        <v>44918</v>
      </c>
      <c r="E162" s="211" t="s">
        <v>56</v>
      </c>
      <c r="F162" s="112">
        <v>9</v>
      </c>
      <c r="G162" s="185">
        <v>104</v>
      </c>
      <c r="H162" s="186">
        <f t="shared" si="46"/>
        <v>1.0368952256941935</v>
      </c>
      <c r="I162" s="186">
        <f t="shared" si="44"/>
        <v>1.105007265554538</v>
      </c>
      <c r="J162" s="187">
        <f t="shared" si="47"/>
        <v>114.92075561767194</v>
      </c>
      <c r="K162" s="194">
        <f t="shared" si="41"/>
        <v>107.83710347219612</v>
      </c>
      <c r="L162" s="193">
        <f t="shared" si="52"/>
        <v>7.0836521454758241</v>
      </c>
      <c r="M162" s="190">
        <f t="shared" si="48"/>
        <v>0.3868176864412835</v>
      </c>
      <c r="N162" s="191">
        <f t="shared" si="49"/>
        <v>7.4704698319171072</v>
      </c>
      <c r="O162" s="190">
        <v>0</v>
      </c>
      <c r="P162" s="190">
        <v>0</v>
      </c>
      <c r="Q162" s="190">
        <v>0</v>
      </c>
      <c r="R162" s="191">
        <f t="shared" si="50"/>
        <v>7.4704698319171072</v>
      </c>
    </row>
    <row r="163" spans="1:19" s="207" customFormat="1" x14ac:dyDescent="0.2">
      <c r="A163" s="148">
        <v>12</v>
      </c>
      <c r="B163" s="205">
        <f t="shared" si="45"/>
        <v>44896</v>
      </c>
      <c r="C163" s="203">
        <f t="shared" si="51"/>
        <v>44930</v>
      </c>
      <c r="D163" s="203">
        <f t="shared" si="51"/>
        <v>44950</v>
      </c>
      <c r="E163" s="212" t="s">
        <v>56</v>
      </c>
      <c r="F163" s="159">
        <v>9</v>
      </c>
      <c r="G163" s="185">
        <v>139</v>
      </c>
      <c r="H163" s="195">
        <f t="shared" si="46"/>
        <v>1.0368952256941935</v>
      </c>
      <c r="I163" s="195">
        <f t="shared" si="44"/>
        <v>1.105007265554538</v>
      </c>
      <c r="J163" s="196">
        <f t="shared" si="47"/>
        <v>153.59600991208077</v>
      </c>
      <c r="K163" s="197">
        <f t="shared" si="41"/>
        <v>144.12843637149288</v>
      </c>
      <c r="L163" s="198">
        <f t="shared" si="52"/>
        <v>9.4675735405878925</v>
      </c>
      <c r="M163" s="190">
        <f t="shared" si="48"/>
        <v>0.51699671553210014</v>
      </c>
      <c r="N163" s="191">
        <f t="shared" si="49"/>
        <v>9.9845702561199925</v>
      </c>
      <c r="O163" s="190">
        <v>0</v>
      </c>
      <c r="P163" s="190">
        <v>0</v>
      </c>
      <c r="Q163" s="190">
        <v>0</v>
      </c>
      <c r="R163" s="191">
        <f t="shared" si="50"/>
        <v>9.9845702561199925</v>
      </c>
    </row>
    <row r="164" spans="1:19" x14ac:dyDescent="0.2">
      <c r="A164" s="112">
        <v>1</v>
      </c>
      <c r="B164" s="183">
        <f t="shared" si="45"/>
        <v>44562</v>
      </c>
      <c r="C164" s="200">
        <f t="shared" si="51"/>
        <v>44595</v>
      </c>
      <c r="D164" s="200">
        <f t="shared" si="51"/>
        <v>44615</v>
      </c>
      <c r="E164" s="210" t="s">
        <v>57</v>
      </c>
      <c r="F164" s="112">
        <v>9</v>
      </c>
      <c r="G164" s="185">
        <v>8</v>
      </c>
      <c r="H164" s="186">
        <f t="shared" si="46"/>
        <v>1.0368952256941935</v>
      </c>
      <c r="I164" s="186">
        <f t="shared" si="44"/>
        <v>1.105007265554538</v>
      </c>
      <c r="J164" s="187">
        <f t="shared" si="47"/>
        <v>8.8400581244363039</v>
      </c>
      <c r="K164" s="188">
        <f t="shared" si="41"/>
        <v>8.2951618055535477</v>
      </c>
      <c r="L164" s="189">
        <f t="shared" si="52"/>
        <v>0.54489631888275625</v>
      </c>
      <c r="M164" s="190">
        <f t="shared" si="48"/>
        <v>2.9755206649329506E-2</v>
      </c>
      <c r="N164" s="191">
        <f t="shared" si="49"/>
        <v>0.57465152553208576</v>
      </c>
      <c r="O164" s="190">
        <v>0</v>
      </c>
      <c r="P164" s="190">
        <v>0</v>
      </c>
      <c r="Q164" s="190">
        <v>0</v>
      </c>
      <c r="R164" s="191">
        <f t="shared" si="50"/>
        <v>0.57465152553208576</v>
      </c>
    </row>
    <row r="165" spans="1:19" x14ac:dyDescent="0.2">
      <c r="A165" s="148">
        <v>2</v>
      </c>
      <c r="B165" s="183">
        <f t="shared" si="45"/>
        <v>44593</v>
      </c>
      <c r="C165" s="203">
        <f t="shared" si="51"/>
        <v>44623</v>
      </c>
      <c r="D165" s="203">
        <f t="shared" si="51"/>
        <v>44642</v>
      </c>
      <c r="E165" s="211" t="s">
        <v>57</v>
      </c>
      <c r="F165" s="148">
        <v>9</v>
      </c>
      <c r="G165" s="185">
        <v>11</v>
      </c>
      <c r="H165" s="186">
        <f t="shared" si="46"/>
        <v>1.0368952256941935</v>
      </c>
      <c r="I165" s="186">
        <f t="shared" si="44"/>
        <v>1.105007265554538</v>
      </c>
      <c r="J165" s="187">
        <f t="shared" si="47"/>
        <v>12.155079921099919</v>
      </c>
      <c r="K165" s="188">
        <f t="shared" si="41"/>
        <v>11.405847482636128</v>
      </c>
      <c r="L165" s="189">
        <f t="shared" si="52"/>
        <v>0.74923243846379073</v>
      </c>
      <c r="M165" s="190">
        <f t="shared" si="48"/>
        <v>4.0913409142828067E-2</v>
      </c>
      <c r="N165" s="191">
        <f t="shared" si="49"/>
        <v>0.79014584760661877</v>
      </c>
      <c r="O165" s="190">
        <v>0</v>
      </c>
      <c r="P165" s="190">
        <v>0</v>
      </c>
      <c r="Q165" s="190">
        <v>0</v>
      </c>
      <c r="R165" s="191">
        <f t="shared" si="50"/>
        <v>0.79014584760661877</v>
      </c>
    </row>
    <row r="166" spans="1:19" x14ac:dyDescent="0.2">
      <c r="A166" s="148">
        <v>3</v>
      </c>
      <c r="B166" s="183">
        <f t="shared" si="45"/>
        <v>44621</v>
      </c>
      <c r="C166" s="203">
        <f t="shared" si="51"/>
        <v>44656</v>
      </c>
      <c r="D166" s="203">
        <f t="shared" si="51"/>
        <v>44676</v>
      </c>
      <c r="E166" s="211" t="s">
        <v>57</v>
      </c>
      <c r="F166" s="148">
        <v>9</v>
      </c>
      <c r="G166" s="185">
        <v>9</v>
      </c>
      <c r="H166" s="186">
        <f t="shared" si="46"/>
        <v>1.0368952256941935</v>
      </c>
      <c r="I166" s="186">
        <f t="shared" si="44"/>
        <v>1.105007265554538</v>
      </c>
      <c r="J166" s="187">
        <f t="shared" si="47"/>
        <v>9.945065389990841</v>
      </c>
      <c r="K166" s="188">
        <f t="shared" si="41"/>
        <v>9.3320570312477411</v>
      </c>
      <c r="L166" s="189">
        <f>+J166-K166</f>
        <v>0.61300835874309989</v>
      </c>
      <c r="M166" s="190">
        <f t="shared" si="48"/>
        <v>3.3474607480495695E-2</v>
      </c>
      <c r="N166" s="191">
        <f t="shared" si="49"/>
        <v>0.64648296622359558</v>
      </c>
      <c r="O166" s="190">
        <v>0</v>
      </c>
      <c r="P166" s="190">
        <v>0</v>
      </c>
      <c r="Q166" s="190">
        <v>0</v>
      </c>
      <c r="R166" s="191">
        <f t="shared" si="50"/>
        <v>0.64648296622359558</v>
      </c>
    </row>
    <row r="167" spans="1:19" x14ac:dyDescent="0.2">
      <c r="A167" s="112">
        <v>4</v>
      </c>
      <c r="B167" s="183">
        <f t="shared" si="45"/>
        <v>44652</v>
      </c>
      <c r="C167" s="203">
        <f t="shared" si="51"/>
        <v>44685</v>
      </c>
      <c r="D167" s="203">
        <f t="shared" si="51"/>
        <v>44705</v>
      </c>
      <c r="E167" s="211" t="s">
        <v>57</v>
      </c>
      <c r="F167" s="148">
        <v>9</v>
      </c>
      <c r="G167" s="185">
        <v>11</v>
      </c>
      <c r="H167" s="186">
        <f t="shared" si="46"/>
        <v>1.0368952256941935</v>
      </c>
      <c r="I167" s="186">
        <f t="shared" si="44"/>
        <v>1.105007265554538</v>
      </c>
      <c r="J167" s="187">
        <f t="shared" si="47"/>
        <v>12.155079921099919</v>
      </c>
      <c r="K167" s="188">
        <f t="shared" si="41"/>
        <v>11.405847482636128</v>
      </c>
      <c r="L167" s="189">
        <f t="shared" ref="L167:L177" si="53">+J167-K167</f>
        <v>0.74923243846379073</v>
      </c>
      <c r="M167" s="190">
        <f t="shared" si="48"/>
        <v>4.0913409142828067E-2</v>
      </c>
      <c r="N167" s="191">
        <f t="shared" si="49"/>
        <v>0.79014584760661877</v>
      </c>
      <c r="O167" s="190">
        <v>0</v>
      </c>
      <c r="P167" s="190">
        <v>0</v>
      </c>
      <c r="Q167" s="190">
        <v>0</v>
      </c>
      <c r="R167" s="191">
        <f t="shared" si="50"/>
        <v>0.79014584760661877</v>
      </c>
    </row>
    <row r="168" spans="1:19" x14ac:dyDescent="0.2">
      <c r="A168" s="148">
        <v>5</v>
      </c>
      <c r="B168" s="183">
        <f t="shared" si="45"/>
        <v>44682</v>
      </c>
      <c r="C168" s="203">
        <f t="shared" si="51"/>
        <v>44715</v>
      </c>
      <c r="D168" s="203">
        <f t="shared" si="51"/>
        <v>44735</v>
      </c>
      <c r="E168" s="211" t="s">
        <v>57</v>
      </c>
      <c r="F168" s="148">
        <v>9</v>
      </c>
      <c r="G168" s="185">
        <v>11</v>
      </c>
      <c r="H168" s="186">
        <f t="shared" si="46"/>
        <v>1.0368952256941935</v>
      </c>
      <c r="I168" s="186">
        <f t="shared" si="44"/>
        <v>1.105007265554538</v>
      </c>
      <c r="J168" s="187">
        <f t="shared" si="47"/>
        <v>12.155079921099919</v>
      </c>
      <c r="K168" s="188">
        <f t="shared" si="41"/>
        <v>11.405847482636128</v>
      </c>
      <c r="L168" s="189">
        <f t="shared" si="53"/>
        <v>0.74923243846379073</v>
      </c>
      <c r="M168" s="190">
        <f t="shared" si="48"/>
        <v>4.0913409142828067E-2</v>
      </c>
      <c r="N168" s="191">
        <f t="shared" si="49"/>
        <v>0.79014584760661877</v>
      </c>
      <c r="O168" s="190">
        <v>0</v>
      </c>
      <c r="P168" s="190">
        <v>0</v>
      </c>
      <c r="Q168" s="190">
        <v>0</v>
      </c>
      <c r="R168" s="191">
        <f t="shared" si="50"/>
        <v>0.79014584760661877</v>
      </c>
    </row>
    <row r="169" spans="1:19" x14ac:dyDescent="0.2">
      <c r="A169" s="148">
        <v>6</v>
      </c>
      <c r="B169" s="183">
        <f t="shared" si="45"/>
        <v>44713</v>
      </c>
      <c r="C169" s="203">
        <f t="shared" si="51"/>
        <v>44747</v>
      </c>
      <c r="D169" s="203">
        <f t="shared" si="51"/>
        <v>44767</v>
      </c>
      <c r="E169" s="211" t="s">
        <v>57</v>
      </c>
      <c r="F169" s="148">
        <v>9</v>
      </c>
      <c r="G169" s="185">
        <v>14</v>
      </c>
      <c r="H169" s="186">
        <f t="shared" si="46"/>
        <v>1.0368952256941935</v>
      </c>
      <c r="I169" s="186">
        <f t="shared" si="44"/>
        <v>1.105007265554538</v>
      </c>
      <c r="J169" s="187">
        <f t="shared" si="47"/>
        <v>15.470101717763532</v>
      </c>
      <c r="K169" s="188">
        <f t="shared" si="41"/>
        <v>14.516533159718708</v>
      </c>
      <c r="L169" s="193">
        <f t="shared" si="53"/>
        <v>0.95356855804482343</v>
      </c>
      <c r="M169" s="190">
        <f t="shared" si="48"/>
        <v>5.2071611636326627E-2</v>
      </c>
      <c r="N169" s="191">
        <f t="shared" si="49"/>
        <v>1.0056401696811501</v>
      </c>
      <c r="O169" s="190">
        <v>0</v>
      </c>
      <c r="P169" s="190">
        <v>0</v>
      </c>
      <c r="Q169" s="190">
        <v>0</v>
      </c>
      <c r="R169" s="191">
        <f t="shared" si="50"/>
        <v>1.0056401696811501</v>
      </c>
    </row>
    <row r="170" spans="1:19" x14ac:dyDescent="0.2">
      <c r="A170" s="112">
        <v>7</v>
      </c>
      <c r="B170" s="183">
        <f t="shared" si="45"/>
        <v>44743</v>
      </c>
      <c r="C170" s="203">
        <f t="shared" si="51"/>
        <v>44776</v>
      </c>
      <c r="D170" s="203">
        <f t="shared" si="51"/>
        <v>44796</v>
      </c>
      <c r="E170" s="211" t="s">
        <v>57</v>
      </c>
      <c r="F170" s="148">
        <v>9</v>
      </c>
      <c r="G170" s="185">
        <v>13</v>
      </c>
      <c r="H170" s="186">
        <f t="shared" si="46"/>
        <v>1.0368952256941935</v>
      </c>
      <c r="I170" s="186">
        <f t="shared" si="44"/>
        <v>1.105007265554538</v>
      </c>
      <c r="J170" s="187">
        <f t="shared" si="47"/>
        <v>14.365094452208993</v>
      </c>
      <c r="K170" s="194">
        <f t="shared" si="41"/>
        <v>13.479637934024515</v>
      </c>
      <c r="L170" s="193">
        <f t="shared" si="53"/>
        <v>0.88545651818447801</v>
      </c>
      <c r="M170" s="190">
        <f t="shared" si="48"/>
        <v>4.8352210805160438E-2</v>
      </c>
      <c r="N170" s="191">
        <f t="shared" si="49"/>
        <v>0.9338087289896384</v>
      </c>
      <c r="O170" s="190">
        <v>0</v>
      </c>
      <c r="P170" s="190">
        <v>0</v>
      </c>
      <c r="Q170" s="190">
        <v>0</v>
      </c>
      <c r="R170" s="191">
        <f t="shared" si="50"/>
        <v>0.9338087289896384</v>
      </c>
    </row>
    <row r="171" spans="1:19" x14ac:dyDescent="0.2">
      <c r="A171" s="148">
        <v>8</v>
      </c>
      <c r="B171" s="183">
        <f t="shared" si="45"/>
        <v>44774</v>
      </c>
      <c r="C171" s="203">
        <f t="shared" si="51"/>
        <v>44809</v>
      </c>
      <c r="D171" s="203">
        <f t="shared" si="51"/>
        <v>44827</v>
      </c>
      <c r="E171" s="211" t="s">
        <v>57</v>
      </c>
      <c r="F171" s="112">
        <v>9</v>
      </c>
      <c r="G171" s="185">
        <v>13</v>
      </c>
      <c r="H171" s="186">
        <f t="shared" si="46"/>
        <v>1.0368952256941935</v>
      </c>
      <c r="I171" s="186">
        <f t="shared" si="44"/>
        <v>1.105007265554538</v>
      </c>
      <c r="J171" s="187">
        <f t="shared" si="47"/>
        <v>14.365094452208993</v>
      </c>
      <c r="K171" s="194">
        <f t="shared" si="41"/>
        <v>13.479637934024515</v>
      </c>
      <c r="L171" s="193">
        <f t="shared" si="53"/>
        <v>0.88545651818447801</v>
      </c>
      <c r="M171" s="190">
        <f t="shared" si="48"/>
        <v>4.8352210805160438E-2</v>
      </c>
      <c r="N171" s="191">
        <f t="shared" si="49"/>
        <v>0.9338087289896384</v>
      </c>
      <c r="O171" s="190">
        <v>0</v>
      </c>
      <c r="P171" s="190">
        <v>0</v>
      </c>
      <c r="Q171" s="190">
        <v>0</v>
      </c>
      <c r="R171" s="191">
        <f t="shared" si="50"/>
        <v>0.9338087289896384</v>
      </c>
      <c r="S171" s="52"/>
    </row>
    <row r="172" spans="1:19" x14ac:dyDescent="0.2">
      <c r="A172" s="148">
        <v>9</v>
      </c>
      <c r="B172" s="183">
        <f t="shared" si="45"/>
        <v>44805</v>
      </c>
      <c r="C172" s="203">
        <f t="shared" ref="C172:D175" si="54">+C160</f>
        <v>44839</v>
      </c>
      <c r="D172" s="203">
        <f t="shared" si="54"/>
        <v>44859</v>
      </c>
      <c r="E172" s="211" t="s">
        <v>57</v>
      </c>
      <c r="F172" s="112">
        <v>9</v>
      </c>
      <c r="G172" s="185">
        <v>13</v>
      </c>
      <c r="H172" s="186">
        <f t="shared" si="46"/>
        <v>1.0368952256941935</v>
      </c>
      <c r="I172" s="186">
        <f t="shared" si="44"/>
        <v>1.105007265554538</v>
      </c>
      <c r="J172" s="187">
        <f t="shared" si="47"/>
        <v>14.365094452208993</v>
      </c>
      <c r="K172" s="194">
        <f t="shared" si="41"/>
        <v>13.479637934024515</v>
      </c>
      <c r="L172" s="193">
        <f t="shared" si="53"/>
        <v>0.88545651818447801</v>
      </c>
      <c r="M172" s="190">
        <f t="shared" si="48"/>
        <v>4.8352210805160438E-2</v>
      </c>
      <c r="N172" s="191">
        <f t="shared" si="49"/>
        <v>0.9338087289896384</v>
      </c>
      <c r="O172" s="190">
        <v>0</v>
      </c>
      <c r="P172" s="190">
        <v>0</v>
      </c>
      <c r="Q172" s="190">
        <v>0</v>
      </c>
      <c r="R172" s="191">
        <f t="shared" si="50"/>
        <v>0.9338087289896384</v>
      </c>
    </row>
    <row r="173" spans="1:19" x14ac:dyDescent="0.2">
      <c r="A173" s="112">
        <v>10</v>
      </c>
      <c r="B173" s="183">
        <f t="shared" si="45"/>
        <v>44835</v>
      </c>
      <c r="C173" s="203">
        <f t="shared" si="54"/>
        <v>44868</v>
      </c>
      <c r="D173" s="203">
        <f t="shared" si="54"/>
        <v>44888</v>
      </c>
      <c r="E173" s="211" t="s">
        <v>57</v>
      </c>
      <c r="F173" s="112">
        <v>9</v>
      </c>
      <c r="G173" s="185">
        <v>10</v>
      </c>
      <c r="H173" s="186">
        <f t="shared" si="46"/>
        <v>1.0368952256941935</v>
      </c>
      <c r="I173" s="186">
        <f t="shared" si="44"/>
        <v>1.105007265554538</v>
      </c>
      <c r="J173" s="187">
        <f t="shared" si="47"/>
        <v>11.05007265554538</v>
      </c>
      <c r="K173" s="194">
        <f t="shared" si="41"/>
        <v>10.368952256941935</v>
      </c>
      <c r="L173" s="193">
        <f t="shared" si="53"/>
        <v>0.68112039860344531</v>
      </c>
      <c r="M173" s="190">
        <f t="shared" si="48"/>
        <v>3.7194008311661877E-2</v>
      </c>
      <c r="N173" s="191">
        <f t="shared" si="49"/>
        <v>0.71831440691510717</v>
      </c>
      <c r="O173" s="190">
        <v>0</v>
      </c>
      <c r="P173" s="190">
        <v>0</v>
      </c>
      <c r="Q173" s="190">
        <v>0</v>
      </c>
      <c r="R173" s="191">
        <f t="shared" si="50"/>
        <v>0.71831440691510717</v>
      </c>
    </row>
    <row r="174" spans="1:19" x14ac:dyDescent="0.2">
      <c r="A174" s="148">
        <v>11</v>
      </c>
      <c r="B174" s="183">
        <f t="shared" si="45"/>
        <v>44866</v>
      </c>
      <c r="C174" s="203">
        <f t="shared" si="54"/>
        <v>44900</v>
      </c>
      <c r="D174" s="203">
        <f t="shared" si="54"/>
        <v>44918</v>
      </c>
      <c r="E174" s="211" t="s">
        <v>57</v>
      </c>
      <c r="F174" s="112">
        <v>9</v>
      </c>
      <c r="G174" s="185">
        <v>9</v>
      </c>
      <c r="H174" s="186">
        <f t="shared" si="46"/>
        <v>1.0368952256941935</v>
      </c>
      <c r="I174" s="186">
        <f t="shared" si="44"/>
        <v>1.105007265554538</v>
      </c>
      <c r="J174" s="187">
        <f t="shared" si="47"/>
        <v>9.945065389990841</v>
      </c>
      <c r="K174" s="194">
        <f t="shared" si="41"/>
        <v>9.3320570312477411</v>
      </c>
      <c r="L174" s="193">
        <f t="shared" si="53"/>
        <v>0.61300835874309989</v>
      </c>
      <c r="M174" s="190">
        <f t="shared" si="48"/>
        <v>3.3474607480495695E-2</v>
      </c>
      <c r="N174" s="191">
        <f t="shared" si="49"/>
        <v>0.64648296622359558</v>
      </c>
      <c r="O174" s="190">
        <v>0</v>
      </c>
      <c r="P174" s="190">
        <v>0</v>
      </c>
      <c r="Q174" s="190">
        <v>0</v>
      </c>
      <c r="R174" s="191">
        <f t="shared" si="50"/>
        <v>0.64648296622359558</v>
      </c>
    </row>
    <row r="175" spans="1:19" s="207" customFormat="1" x14ac:dyDescent="0.2">
      <c r="A175" s="148">
        <v>12</v>
      </c>
      <c r="B175" s="205">
        <f t="shared" si="45"/>
        <v>44896</v>
      </c>
      <c r="C175" s="203">
        <f t="shared" si="54"/>
        <v>44930</v>
      </c>
      <c r="D175" s="203">
        <f t="shared" si="54"/>
        <v>44950</v>
      </c>
      <c r="E175" s="212" t="s">
        <v>57</v>
      </c>
      <c r="F175" s="159">
        <v>9</v>
      </c>
      <c r="G175" s="185">
        <v>9</v>
      </c>
      <c r="H175" s="195">
        <f t="shared" si="46"/>
        <v>1.0368952256941935</v>
      </c>
      <c r="I175" s="195">
        <f t="shared" si="44"/>
        <v>1.105007265554538</v>
      </c>
      <c r="J175" s="196">
        <f t="shared" si="47"/>
        <v>9.945065389990841</v>
      </c>
      <c r="K175" s="197">
        <f t="shared" si="41"/>
        <v>9.3320570312477411</v>
      </c>
      <c r="L175" s="198">
        <f t="shared" si="53"/>
        <v>0.61300835874309989</v>
      </c>
      <c r="M175" s="190">
        <f t="shared" si="48"/>
        <v>3.3474607480495695E-2</v>
      </c>
      <c r="N175" s="191">
        <f t="shared" si="49"/>
        <v>0.64648296622359558</v>
      </c>
      <c r="O175" s="190">
        <v>0</v>
      </c>
      <c r="P175" s="190">
        <v>0</v>
      </c>
      <c r="Q175" s="190">
        <v>0</v>
      </c>
      <c r="R175" s="191">
        <f t="shared" si="50"/>
        <v>0.64648296622359558</v>
      </c>
    </row>
    <row r="176" spans="1:19" x14ac:dyDescent="0.2">
      <c r="A176" s="112">
        <v>1</v>
      </c>
      <c r="B176" s="183">
        <f t="shared" si="45"/>
        <v>44562</v>
      </c>
      <c r="C176" s="200">
        <f t="shared" ref="C176:D187" si="55">+C152</f>
        <v>44595</v>
      </c>
      <c r="D176" s="200">
        <f t="shared" si="55"/>
        <v>44615</v>
      </c>
      <c r="E176" s="210" t="s">
        <v>58</v>
      </c>
      <c r="F176" s="148">
        <v>9</v>
      </c>
      <c r="G176" s="185">
        <v>22</v>
      </c>
      <c r="H176" s="186">
        <f t="shared" si="46"/>
        <v>1.0368952256941935</v>
      </c>
      <c r="I176" s="186">
        <f t="shared" si="44"/>
        <v>1.105007265554538</v>
      </c>
      <c r="J176" s="187">
        <f t="shared" si="47"/>
        <v>24.310159842199837</v>
      </c>
      <c r="K176" s="188">
        <f t="shared" si="41"/>
        <v>22.811694965272256</v>
      </c>
      <c r="L176" s="189">
        <f t="shared" si="53"/>
        <v>1.4984648769275815</v>
      </c>
      <c r="M176" s="190">
        <f t="shared" si="48"/>
        <v>8.1826818285656133E-2</v>
      </c>
      <c r="N176" s="191">
        <f t="shared" si="49"/>
        <v>1.5802916952132375</v>
      </c>
      <c r="O176" s="190">
        <v>0</v>
      </c>
      <c r="P176" s="190">
        <v>0</v>
      </c>
      <c r="Q176" s="190">
        <v>0</v>
      </c>
      <c r="R176" s="191">
        <f t="shared" si="50"/>
        <v>1.5802916952132375</v>
      </c>
    </row>
    <row r="177" spans="1:18" x14ac:dyDescent="0.2">
      <c r="A177" s="148">
        <v>2</v>
      </c>
      <c r="B177" s="183">
        <f t="shared" si="45"/>
        <v>44593</v>
      </c>
      <c r="C177" s="203">
        <f t="shared" si="55"/>
        <v>44623</v>
      </c>
      <c r="D177" s="203">
        <f t="shared" si="55"/>
        <v>44642</v>
      </c>
      <c r="E177" s="54" t="s">
        <v>58</v>
      </c>
      <c r="F177" s="148">
        <v>9</v>
      </c>
      <c r="G177" s="185">
        <v>22</v>
      </c>
      <c r="H177" s="186">
        <f t="shared" si="46"/>
        <v>1.0368952256941935</v>
      </c>
      <c r="I177" s="186">
        <f t="shared" si="44"/>
        <v>1.105007265554538</v>
      </c>
      <c r="J177" s="187">
        <f t="shared" si="47"/>
        <v>24.310159842199837</v>
      </c>
      <c r="K177" s="188">
        <f t="shared" si="41"/>
        <v>22.811694965272256</v>
      </c>
      <c r="L177" s="189">
        <f t="shared" si="53"/>
        <v>1.4984648769275815</v>
      </c>
      <c r="M177" s="190">
        <f t="shared" si="48"/>
        <v>8.1826818285656133E-2</v>
      </c>
      <c r="N177" s="191">
        <f t="shared" si="49"/>
        <v>1.5802916952132375</v>
      </c>
      <c r="O177" s="190">
        <v>0</v>
      </c>
      <c r="P177" s="190">
        <v>0</v>
      </c>
      <c r="Q177" s="190">
        <v>0</v>
      </c>
      <c r="R177" s="191">
        <f t="shared" si="50"/>
        <v>1.5802916952132375</v>
      </c>
    </row>
    <row r="178" spans="1:18" x14ac:dyDescent="0.2">
      <c r="A178" s="148">
        <v>3</v>
      </c>
      <c r="B178" s="183">
        <f t="shared" si="45"/>
        <v>44621</v>
      </c>
      <c r="C178" s="203">
        <f t="shared" si="55"/>
        <v>44656</v>
      </c>
      <c r="D178" s="203">
        <f t="shared" si="55"/>
        <v>44676</v>
      </c>
      <c r="E178" s="54" t="s">
        <v>58</v>
      </c>
      <c r="F178" s="148">
        <v>9</v>
      </c>
      <c r="G178" s="185">
        <v>18</v>
      </c>
      <c r="H178" s="186">
        <f t="shared" si="46"/>
        <v>1.0368952256941935</v>
      </c>
      <c r="I178" s="186">
        <f t="shared" si="44"/>
        <v>1.105007265554538</v>
      </c>
      <c r="J178" s="187">
        <f t="shared" si="47"/>
        <v>19.890130779981682</v>
      </c>
      <c r="K178" s="188">
        <f t="shared" si="41"/>
        <v>18.664114062495482</v>
      </c>
      <c r="L178" s="189">
        <f>+J178-K178</f>
        <v>1.2260167174861998</v>
      </c>
      <c r="M178" s="190">
        <f t="shared" si="48"/>
        <v>6.6949214960991391E-2</v>
      </c>
      <c r="N178" s="191">
        <f t="shared" si="49"/>
        <v>1.2929659324471912</v>
      </c>
      <c r="O178" s="190">
        <v>0</v>
      </c>
      <c r="P178" s="190">
        <v>0</v>
      </c>
      <c r="Q178" s="190">
        <v>0</v>
      </c>
      <c r="R178" s="191">
        <f t="shared" si="50"/>
        <v>1.2929659324471912</v>
      </c>
    </row>
    <row r="179" spans="1:18" x14ac:dyDescent="0.2">
      <c r="A179" s="112">
        <v>4</v>
      </c>
      <c r="B179" s="183">
        <f t="shared" si="45"/>
        <v>44652</v>
      </c>
      <c r="C179" s="203">
        <f t="shared" si="55"/>
        <v>44685</v>
      </c>
      <c r="D179" s="203">
        <f t="shared" si="55"/>
        <v>44705</v>
      </c>
      <c r="E179" s="54" t="s">
        <v>58</v>
      </c>
      <c r="F179" s="148">
        <v>9</v>
      </c>
      <c r="G179" s="185">
        <v>21</v>
      </c>
      <c r="H179" s="186">
        <f t="shared" si="46"/>
        <v>1.0368952256941935</v>
      </c>
      <c r="I179" s="186">
        <f t="shared" si="44"/>
        <v>1.105007265554538</v>
      </c>
      <c r="J179" s="187">
        <f t="shared" si="47"/>
        <v>23.205152576645297</v>
      </c>
      <c r="K179" s="188">
        <f t="shared" si="41"/>
        <v>21.774799739578064</v>
      </c>
      <c r="L179" s="189">
        <f t="shared" ref="L179:L189" si="56">+J179-K179</f>
        <v>1.4303528370672325</v>
      </c>
      <c r="M179" s="190">
        <f t="shared" si="48"/>
        <v>7.8107417454489944E-2</v>
      </c>
      <c r="N179" s="191">
        <f t="shared" si="49"/>
        <v>1.5084602545217225</v>
      </c>
      <c r="O179" s="190">
        <v>0</v>
      </c>
      <c r="P179" s="190">
        <v>0</v>
      </c>
      <c r="Q179" s="190">
        <v>0</v>
      </c>
      <c r="R179" s="191">
        <f t="shared" si="50"/>
        <v>1.5084602545217225</v>
      </c>
    </row>
    <row r="180" spans="1:18" x14ac:dyDescent="0.2">
      <c r="A180" s="148">
        <v>5</v>
      </c>
      <c r="B180" s="183">
        <f t="shared" si="45"/>
        <v>44682</v>
      </c>
      <c r="C180" s="203">
        <f t="shared" si="55"/>
        <v>44715</v>
      </c>
      <c r="D180" s="203">
        <f t="shared" si="55"/>
        <v>44735</v>
      </c>
      <c r="E180" s="54" t="s">
        <v>58</v>
      </c>
      <c r="F180" s="148">
        <v>9</v>
      </c>
      <c r="G180" s="185">
        <v>31</v>
      </c>
      <c r="H180" s="186">
        <f t="shared" si="46"/>
        <v>1.0368952256941935</v>
      </c>
      <c r="I180" s="186">
        <f t="shared" ref="I180:I211" si="57">$J$3</f>
        <v>1.105007265554538</v>
      </c>
      <c r="J180" s="187">
        <f t="shared" si="47"/>
        <v>34.255225232190675</v>
      </c>
      <c r="K180" s="188">
        <f t="shared" si="41"/>
        <v>32.143751996519995</v>
      </c>
      <c r="L180" s="189">
        <f t="shared" si="56"/>
        <v>2.1114732356706796</v>
      </c>
      <c r="M180" s="190">
        <f t="shared" si="48"/>
        <v>0.11530142576615182</v>
      </c>
      <c r="N180" s="191">
        <f t="shared" si="49"/>
        <v>2.2267746614368313</v>
      </c>
      <c r="O180" s="190">
        <v>0</v>
      </c>
      <c r="P180" s="190">
        <v>0</v>
      </c>
      <c r="Q180" s="190">
        <v>0</v>
      </c>
      <c r="R180" s="191">
        <f t="shared" si="50"/>
        <v>2.2267746614368313</v>
      </c>
    </row>
    <row r="181" spans="1:18" x14ac:dyDescent="0.2">
      <c r="A181" s="148">
        <v>6</v>
      </c>
      <c r="B181" s="183">
        <f t="shared" si="45"/>
        <v>44713</v>
      </c>
      <c r="C181" s="203">
        <f t="shared" si="55"/>
        <v>44747</v>
      </c>
      <c r="D181" s="203">
        <f t="shared" si="55"/>
        <v>44767</v>
      </c>
      <c r="E181" s="54" t="s">
        <v>58</v>
      </c>
      <c r="F181" s="148">
        <v>9</v>
      </c>
      <c r="G181" s="185">
        <v>38</v>
      </c>
      <c r="H181" s="186">
        <f t="shared" si="46"/>
        <v>1.0368952256941935</v>
      </c>
      <c r="I181" s="186">
        <f t="shared" si="57"/>
        <v>1.105007265554538</v>
      </c>
      <c r="J181" s="187">
        <f t="shared" si="47"/>
        <v>41.990276091072445</v>
      </c>
      <c r="K181" s="188">
        <f t="shared" si="41"/>
        <v>39.402018576379348</v>
      </c>
      <c r="L181" s="193">
        <f t="shared" si="56"/>
        <v>2.5882575146930975</v>
      </c>
      <c r="M181" s="190">
        <f t="shared" si="48"/>
        <v>0.14133723158431516</v>
      </c>
      <c r="N181" s="191">
        <f t="shared" si="49"/>
        <v>2.7295947462774128</v>
      </c>
      <c r="O181" s="190">
        <v>0</v>
      </c>
      <c r="P181" s="190">
        <v>0</v>
      </c>
      <c r="Q181" s="190">
        <v>0</v>
      </c>
      <c r="R181" s="191">
        <f t="shared" si="50"/>
        <v>2.7295947462774128</v>
      </c>
    </row>
    <row r="182" spans="1:18" x14ac:dyDescent="0.2">
      <c r="A182" s="112">
        <v>7</v>
      </c>
      <c r="B182" s="183">
        <f t="shared" si="45"/>
        <v>44743</v>
      </c>
      <c r="C182" s="203">
        <f t="shared" si="55"/>
        <v>44776</v>
      </c>
      <c r="D182" s="203">
        <f t="shared" si="55"/>
        <v>44796</v>
      </c>
      <c r="E182" s="54" t="s">
        <v>58</v>
      </c>
      <c r="F182" s="148">
        <v>9</v>
      </c>
      <c r="G182" s="185">
        <v>40</v>
      </c>
      <c r="H182" s="186">
        <f t="shared" si="46"/>
        <v>1.0368952256941935</v>
      </c>
      <c r="I182" s="186">
        <f t="shared" si="57"/>
        <v>1.105007265554538</v>
      </c>
      <c r="J182" s="187">
        <f t="shared" si="47"/>
        <v>44.200290622181519</v>
      </c>
      <c r="K182" s="194">
        <f t="shared" si="41"/>
        <v>41.475809027767738</v>
      </c>
      <c r="L182" s="193">
        <f t="shared" si="56"/>
        <v>2.7244815944137812</v>
      </c>
      <c r="M182" s="190">
        <f t="shared" si="48"/>
        <v>0.14877603324664751</v>
      </c>
      <c r="N182" s="191">
        <f t="shared" si="49"/>
        <v>2.8732576276604287</v>
      </c>
      <c r="O182" s="190">
        <v>0</v>
      </c>
      <c r="P182" s="190">
        <v>0</v>
      </c>
      <c r="Q182" s="190">
        <v>0</v>
      </c>
      <c r="R182" s="191">
        <f t="shared" si="50"/>
        <v>2.8732576276604287</v>
      </c>
    </row>
    <row r="183" spans="1:18" x14ac:dyDescent="0.2">
      <c r="A183" s="148">
        <v>8</v>
      </c>
      <c r="B183" s="183">
        <f t="shared" si="45"/>
        <v>44774</v>
      </c>
      <c r="C183" s="203">
        <f t="shared" si="55"/>
        <v>44809</v>
      </c>
      <c r="D183" s="203">
        <f t="shared" si="55"/>
        <v>44827</v>
      </c>
      <c r="E183" s="54" t="s">
        <v>58</v>
      </c>
      <c r="F183" s="148">
        <v>9</v>
      </c>
      <c r="G183" s="185">
        <v>38</v>
      </c>
      <c r="H183" s="186">
        <f t="shared" si="46"/>
        <v>1.0368952256941935</v>
      </c>
      <c r="I183" s="186">
        <f t="shared" si="57"/>
        <v>1.105007265554538</v>
      </c>
      <c r="J183" s="187">
        <f t="shared" si="47"/>
        <v>41.990276091072445</v>
      </c>
      <c r="K183" s="194">
        <f t="shared" si="41"/>
        <v>39.402018576379348</v>
      </c>
      <c r="L183" s="193">
        <f t="shared" si="56"/>
        <v>2.5882575146930975</v>
      </c>
      <c r="M183" s="190">
        <f t="shared" si="48"/>
        <v>0.14133723158431516</v>
      </c>
      <c r="N183" s="191">
        <f t="shared" si="49"/>
        <v>2.7295947462774128</v>
      </c>
      <c r="O183" s="190">
        <v>0</v>
      </c>
      <c r="P183" s="190">
        <v>0</v>
      </c>
      <c r="Q183" s="190">
        <v>0</v>
      </c>
      <c r="R183" s="191">
        <f t="shared" si="50"/>
        <v>2.7295947462774128</v>
      </c>
    </row>
    <row r="184" spans="1:18" x14ac:dyDescent="0.2">
      <c r="A184" s="148">
        <v>9</v>
      </c>
      <c r="B184" s="183">
        <f t="shared" si="45"/>
        <v>44805</v>
      </c>
      <c r="C184" s="203">
        <f t="shared" si="55"/>
        <v>44839</v>
      </c>
      <c r="D184" s="203">
        <f t="shared" si="55"/>
        <v>44859</v>
      </c>
      <c r="E184" s="54" t="s">
        <v>58</v>
      </c>
      <c r="F184" s="148">
        <v>9</v>
      </c>
      <c r="G184" s="185">
        <v>35</v>
      </c>
      <c r="H184" s="186">
        <f t="shared" si="46"/>
        <v>1.0368952256941935</v>
      </c>
      <c r="I184" s="186">
        <f t="shared" si="57"/>
        <v>1.105007265554538</v>
      </c>
      <c r="J184" s="187">
        <f t="shared" si="47"/>
        <v>38.67525429440883</v>
      </c>
      <c r="K184" s="194">
        <f t="shared" si="41"/>
        <v>36.291332899296769</v>
      </c>
      <c r="L184" s="193">
        <f t="shared" si="56"/>
        <v>2.3839213951120612</v>
      </c>
      <c r="M184" s="190">
        <f t="shared" si="48"/>
        <v>0.13017902909081658</v>
      </c>
      <c r="N184" s="191">
        <f t="shared" si="49"/>
        <v>2.5141004242028777</v>
      </c>
      <c r="O184" s="190">
        <v>0</v>
      </c>
      <c r="P184" s="190">
        <v>0</v>
      </c>
      <c r="Q184" s="190">
        <v>0</v>
      </c>
      <c r="R184" s="191">
        <f t="shared" si="50"/>
        <v>2.5141004242028777</v>
      </c>
    </row>
    <row r="185" spans="1:18" x14ac:dyDescent="0.2">
      <c r="A185" s="112">
        <v>10</v>
      </c>
      <c r="B185" s="183">
        <f t="shared" si="45"/>
        <v>44835</v>
      </c>
      <c r="C185" s="203">
        <f t="shared" si="55"/>
        <v>44868</v>
      </c>
      <c r="D185" s="203">
        <f t="shared" si="55"/>
        <v>44888</v>
      </c>
      <c r="E185" s="54" t="s">
        <v>58</v>
      </c>
      <c r="F185" s="148">
        <v>9</v>
      </c>
      <c r="G185" s="185">
        <v>23</v>
      </c>
      <c r="H185" s="186">
        <f t="shared" si="46"/>
        <v>1.0368952256941935</v>
      </c>
      <c r="I185" s="186">
        <f t="shared" si="57"/>
        <v>1.105007265554538</v>
      </c>
      <c r="J185" s="187">
        <f t="shared" si="47"/>
        <v>25.415167107754375</v>
      </c>
      <c r="K185" s="194">
        <f t="shared" si="41"/>
        <v>23.848590190966448</v>
      </c>
      <c r="L185" s="193">
        <f t="shared" si="56"/>
        <v>1.5665769167879269</v>
      </c>
      <c r="M185" s="190">
        <f t="shared" si="48"/>
        <v>8.5546219116822322E-2</v>
      </c>
      <c r="N185" s="191">
        <f t="shared" si="49"/>
        <v>1.6521231359047492</v>
      </c>
      <c r="O185" s="190">
        <v>0</v>
      </c>
      <c r="P185" s="190">
        <v>0</v>
      </c>
      <c r="Q185" s="190">
        <v>0</v>
      </c>
      <c r="R185" s="191">
        <f t="shared" si="50"/>
        <v>1.6521231359047492</v>
      </c>
    </row>
    <row r="186" spans="1:18" x14ac:dyDescent="0.2">
      <c r="A186" s="148">
        <v>11</v>
      </c>
      <c r="B186" s="183">
        <f t="shared" si="45"/>
        <v>44866</v>
      </c>
      <c r="C186" s="203">
        <f t="shared" si="55"/>
        <v>44900</v>
      </c>
      <c r="D186" s="203">
        <f t="shared" si="55"/>
        <v>44918</v>
      </c>
      <c r="E186" s="54" t="s">
        <v>58</v>
      </c>
      <c r="F186" s="148">
        <v>9</v>
      </c>
      <c r="G186" s="185">
        <v>18</v>
      </c>
      <c r="H186" s="186">
        <f t="shared" si="46"/>
        <v>1.0368952256941935</v>
      </c>
      <c r="I186" s="186">
        <f t="shared" si="57"/>
        <v>1.105007265554538</v>
      </c>
      <c r="J186" s="187">
        <f t="shared" si="47"/>
        <v>19.890130779981682</v>
      </c>
      <c r="K186" s="194">
        <f t="shared" si="41"/>
        <v>18.664114062495482</v>
      </c>
      <c r="L186" s="193">
        <f t="shared" si="56"/>
        <v>1.2260167174861998</v>
      </c>
      <c r="M186" s="190">
        <f t="shared" si="48"/>
        <v>6.6949214960991391E-2</v>
      </c>
      <c r="N186" s="191">
        <f t="shared" si="49"/>
        <v>1.2929659324471912</v>
      </c>
      <c r="O186" s="190">
        <v>0</v>
      </c>
      <c r="P186" s="190">
        <v>0</v>
      </c>
      <c r="Q186" s="190">
        <v>0</v>
      </c>
      <c r="R186" s="191">
        <f t="shared" si="50"/>
        <v>1.2929659324471912</v>
      </c>
    </row>
    <row r="187" spans="1:18" s="207" customFormat="1" x14ac:dyDescent="0.2">
      <c r="A187" s="148">
        <v>12</v>
      </c>
      <c r="B187" s="205">
        <f t="shared" si="45"/>
        <v>44896</v>
      </c>
      <c r="C187" s="203">
        <f t="shared" si="55"/>
        <v>44930</v>
      </c>
      <c r="D187" s="203">
        <f t="shared" si="55"/>
        <v>44950</v>
      </c>
      <c r="E187" s="206" t="s">
        <v>58</v>
      </c>
      <c r="F187" s="159">
        <v>9</v>
      </c>
      <c r="G187" s="185">
        <v>27</v>
      </c>
      <c r="H187" s="195">
        <f t="shared" si="46"/>
        <v>1.0368952256941935</v>
      </c>
      <c r="I187" s="195">
        <f t="shared" si="57"/>
        <v>1.105007265554538</v>
      </c>
      <c r="J187" s="196">
        <f t="shared" si="47"/>
        <v>29.835196169972527</v>
      </c>
      <c r="K187" s="197">
        <f t="shared" si="41"/>
        <v>27.996171093743222</v>
      </c>
      <c r="L187" s="198">
        <f t="shared" si="56"/>
        <v>1.839025076229305</v>
      </c>
      <c r="M187" s="190">
        <f t="shared" si="48"/>
        <v>0.10042382244148708</v>
      </c>
      <c r="N187" s="191">
        <f t="shared" si="49"/>
        <v>1.9394488986707921</v>
      </c>
      <c r="O187" s="190">
        <v>0</v>
      </c>
      <c r="P187" s="190">
        <v>0</v>
      </c>
      <c r="Q187" s="190">
        <v>0</v>
      </c>
      <c r="R187" s="191">
        <f t="shared" si="50"/>
        <v>1.9394488986707921</v>
      </c>
    </row>
    <row r="188" spans="1:18" x14ac:dyDescent="0.2">
      <c r="A188" s="112">
        <v>1</v>
      </c>
      <c r="B188" s="183">
        <f t="shared" si="45"/>
        <v>44562</v>
      </c>
      <c r="C188" s="200">
        <f t="shared" ref="C188:D211" si="58">+C176</f>
        <v>44595</v>
      </c>
      <c r="D188" s="200">
        <f t="shared" si="58"/>
        <v>44615</v>
      </c>
      <c r="E188" s="184" t="s">
        <v>59</v>
      </c>
      <c r="F188" s="112">
        <v>9</v>
      </c>
      <c r="G188" s="185">
        <v>37</v>
      </c>
      <c r="H188" s="186">
        <f t="shared" si="46"/>
        <v>1.0368952256941935</v>
      </c>
      <c r="I188" s="186">
        <f t="shared" si="57"/>
        <v>1.105007265554538</v>
      </c>
      <c r="J188" s="187">
        <f t="shared" si="47"/>
        <v>40.885268825517905</v>
      </c>
      <c r="K188" s="188">
        <f t="shared" si="41"/>
        <v>38.36512335068516</v>
      </c>
      <c r="L188" s="189">
        <f t="shared" si="56"/>
        <v>2.520145474832745</v>
      </c>
      <c r="M188" s="190">
        <f t="shared" si="48"/>
        <v>0.13761783075314896</v>
      </c>
      <c r="N188" s="191">
        <f t="shared" si="49"/>
        <v>2.657763305585894</v>
      </c>
      <c r="O188" s="190">
        <v>0</v>
      </c>
      <c r="P188" s="190">
        <v>0</v>
      </c>
      <c r="Q188" s="190">
        <v>0</v>
      </c>
      <c r="R188" s="191">
        <f t="shared" si="50"/>
        <v>2.657763305585894</v>
      </c>
    </row>
    <row r="189" spans="1:18" x14ac:dyDescent="0.2">
      <c r="A189" s="148">
        <v>2</v>
      </c>
      <c r="B189" s="183">
        <f t="shared" si="45"/>
        <v>44593</v>
      </c>
      <c r="C189" s="203">
        <f t="shared" si="58"/>
        <v>44623</v>
      </c>
      <c r="D189" s="203">
        <f t="shared" si="58"/>
        <v>44642</v>
      </c>
      <c r="E189" s="192" t="s">
        <v>59</v>
      </c>
      <c r="F189" s="148">
        <v>9</v>
      </c>
      <c r="G189" s="185">
        <v>37</v>
      </c>
      <c r="H189" s="186">
        <f t="shared" si="46"/>
        <v>1.0368952256941935</v>
      </c>
      <c r="I189" s="186">
        <f t="shared" si="57"/>
        <v>1.105007265554538</v>
      </c>
      <c r="J189" s="187">
        <f t="shared" si="47"/>
        <v>40.885268825517905</v>
      </c>
      <c r="K189" s="188">
        <f t="shared" si="41"/>
        <v>38.36512335068516</v>
      </c>
      <c r="L189" s="189">
        <f t="shared" si="56"/>
        <v>2.520145474832745</v>
      </c>
      <c r="M189" s="190">
        <f t="shared" si="48"/>
        <v>0.13761783075314896</v>
      </c>
      <c r="N189" s="191">
        <f t="shared" si="49"/>
        <v>2.657763305585894</v>
      </c>
      <c r="O189" s="190">
        <v>0</v>
      </c>
      <c r="P189" s="190">
        <v>0</v>
      </c>
      <c r="Q189" s="190">
        <v>0</v>
      </c>
      <c r="R189" s="191">
        <f t="shared" si="50"/>
        <v>2.657763305585894</v>
      </c>
    </row>
    <row r="190" spans="1:18" x14ac:dyDescent="0.2">
      <c r="A190" s="148">
        <v>3</v>
      </c>
      <c r="B190" s="183">
        <f t="shared" si="45"/>
        <v>44621</v>
      </c>
      <c r="C190" s="203">
        <f t="shared" si="58"/>
        <v>44656</v>
      </c>
      <c r="D190" s="203">
        <f t="shared" si="58"/>
        <v>44676</v>
      </c>
      <c r="E190" s="192" t="s">
        <v>59</v>
      </c>
      <c r="F190" s="148">
        <v>9</v>
      </c>
      <c r="G190" s="185">
        <v>25</v>
      </c>
      <c r="H190" s="186">
        <f t="shared" si="46"/>
        <v>1.0368952256941935</v>
      </c>
      <c r="I190" s="186">
        <f t="shared" si="57"/>
        <v>1.105007265554538</v>
      </c>
      <c r="J190" s="187">
        <f t="shared" si="47"/>
        <v>27.625181638863449</v>
      </c>
      <c r="K190" s="188">
        <f t="shared" si="41"/>
        <v>25.922380642354838</v>
      </c>
      <c r="L190" s="189">
        <f>+J190-K190</f>
        <v>1.7028009965086106</v>
      </c>
      <c r="M190" s="190">
        <f t="shared" si="48"/>
        <v>9.2985020779154701E-2</v>
      </c>
      <c r="N190" s="191">
        <f t="shared" si="49"/>
        <v>1.7957860172877653</v>
      </c>
      <c r="O190" s="190">
        <v>0</v>
      </c>
      <c r="P190" s="190">
        <v>0</v>
      </c>
      <c r="Q190" s="190">
        <v>0</v>
      </c>
      <c r="R190" s="191">
        <f t="shared" si="50"/>
        <v>1.7957860172877653</v>
      </c>
    </row>
    <row r="191" spans="1:18" x14ac:dyDescent="0.2">
      <c r="A191" s="112">
        <v>4</v>
      </c>
      <c r="B191" s="183">
        <f t="shared" si="45"/>
        <v>44652</v>
      </c>
      <c r="C191" s="203">
        <f t="shared" si="58"/>
        <v>44685</v>
      </c>
      <c r="D191" s="203">
        <f t="shared" si="58"/>
        <v>44705</v>
      </c>
      <c r="E191" s="54" t="s">
        <v>59</v>
      </c>
      <c r="F191" s="148">
        <v>9</v>
      </c>
      <c r="G191" s="185">
        <v>31</v>
      </c>
      <c r="H191" s="186">
        <f t="shared" si="46"/>
        <v>1.0368952256941935</v>
      </c>
      <c r="I191" s="186">
        <f t="shared" si="57"/>
        <v>1.105007265554538</v>
      </c>
      <c r="J191" s="187">
        <f t="shared" si="47"/>
        <v>34.255225232190675</v>
      </c>
      <c r="K191" s="188">
        <f t="shared" si="41"/>
        <v>32.143751996519995</v>
      </c>
      <c r="L191" s="189">
        <f t="shared" ref="L191:L201" si="59">+J191-K191</f>
        <v>2.1114732356706796</v>
      </c>
      <c r="M191" s="190">
        <f t="shared" si="48"/>
        <v>0.11530142576615182</v>
      </c>
      <c r="N191" s="191">
        <f t="shared" si="49"/>
        <v>2.2267746614368313</v>
      </c>
      <c r="O191" s="190">
        <v>0</v>
      </c>
      <c r="P191" s="190">
        <v>0</v>
      </c>
      <c r="Q191" s="190">
        <v>0</v>
      </c>
      <c r="R191" s="191">
        <f t="shared" si="50"/>
        <v>2.2267746614368313</v>
      </c>
    </row>
    <row r="192" spans="1:18" x14ac:dyDescent="0.2">
      <c r="A192" s="148">
        <v>5</v>
      </c>
      <c r="B192" s="183">
        <f t="shared" si="45"/>
        <v>44682</v>
      </c>
      <c r="C192" s="203">
        <f t="shared" si="58"/>
        <v>44715</v>
      </c>
      <c r="D192" s="203">
        <f t="shared" si="58"/>
        <v>44735</v>
      </c>
      <c r="E192" s="54" t="s">
        <v>59</v>
      </c>
      <c r="F192" s="148">
        <v>9</v>
      </c>
      <c r="G192" s="185">
        <v>40</v>
      </c>
      <c r="H192" s="186">
        <f t="shared" si="46"/>
        <v>1.0368952256941935</v>
      </c>
      <c r="I192" s="186">
        <f t="shared" si="57"/>
        <v>1.105007265554538</v>
      </c>
      <c r="J192" s="187">
        <f t="shared" si="47"/>
        <v>44.200290622181519</v>
      </c>
      <c r="K192" s="188">
        <f t="shared" si="41"/>
        <v>41.475809027767738</v>
      </c>
      <c r="L192" s="189">
        <f t="shared" si="59"/>
        <v>2.7244815944137812</v>
      </c>
      <c r="M192" s="190">
        <f t="shared" si="48"/>
        <v>0.14877603324664751</v>
      </c>
      <c r="N192" s="191">
        <f t="shared" si="49"/>
        <v>2.8732576276604287</v>
      </c>
      <c r="O192" s="190">
        <v>0</v>
      </c>
      <c r="P192" s="190">
        <v>0</v>
      </c>
      <c r="Q192" s="190">
        <v>0</v>
      </c>
      <c r="R192" s="191">
        <f t="shared" si="50"/>
        <v>2.8732576276604287</v>
      </c>
    </row>
    <row r="193" spans="1:18" x14ac:dyDescent="0.2">
      <c r="A193" s="148">
        <v>6</v>
      </c>
      <c r="B193" s="183">
        <f t="shared" si="45"/>
        <v>44713</v>
      </c>
      <c r="C193" s="203">
        <f t="shared" si="58"/>
        <v>44747</v>
      </c>
      <c r="D193" s="203">
        <f t="shared" si="58"/>
        <v>44767</v>
      </c>
      <c r="E193" s="54" t="s">
        <v>59</v>
      </c>
      <c r="F193" s="148">
        <v>9</v>
      </c>
      <c r="G193" s="185">
        <v>48</v>
      </c>
      <c r="H193" s="186">
        <f t="shared" si="46"/>
        <v>1.0368952256941935</v>
      </c>
      <c r="I193" s="186">
        <f t="shared" si="57"/>
        <v>1.105007265554538</v>
      </c>
      <c r="J193" s="187">
        <f t="shared" si="47"/>
        <v>53.040348746617823</v>
      </c>
      <c r="K193" s="188">
        <f t="shared" si="41"/>
        <v>49.770970833321286</v>
      </c>
      <c r="L193" s="193">
        <f t="shared" si="59"/>
        <v>3.2693779132965375</v>
      </c>
      <c r="M193" s="190">
        <f t="shared" si="48"/>
        <v>0.17853123989597702</v>
      </c>
      <c r="N193" s="191">
        <f t="shared" si="49"/>
        <v>3.4479091531925143</v>
      </c>
      <c r="O193" s="190">
        <v>0</v>
      </c>
      <c r="P193" s="190">
        <v>0</v>
      </c>
      <c r="Q193" s="190">
        <v>0</v>
      </c>
      <c r="R193" s="191">
        <f t="shared" si="50"/>
        <v>3.4479091531925143</v>
      </c>
    </row>
    <row r="194" spans="1:18" x14ac:dyDescent="0.2">
      <c r="A194" s="112">
        <v>7</v>
      </c>
      <c r="B194" s="183">
        <f t="shared" si="45"/>
        <v>44743</v>
      </c>
      <c r="C194" s="203">
        <f t="shared" si="58"/>
        <v>44776</v>
      </c>
      <c r="D194" s="203">
        <f t="shared" si="58"/>
        <v>44796</v>
      </c>
      <c r="E194" s="54" t="s">
        <v>59</v>
      </c>
      <c r="F194" s="148">
        <v>9</v>
      </c>
      <c r="G194" s="185">
        <v>52</v>
      </c>
      <c r="H194" s="186">
        <f t="shared" si="46"/>
        <v>1.0368952256941935</v>
      </c>
      <c r="I194" s="186">
        <f t="shared" si="57"/>
        <v>1.105007265554538</v>
      </c>
      <c r="J194" s="187">
        <f t="shared" si="47"/>
        <v>57.460377808835972</v>
      </c>
      <c r="K194" s="194">
        <f t="shared" si="41"/>
        <v>53.91855173609806</v>
      </c>
      <c r="L194" s="193">
        <f t="shared" si="59"/>
        <v>3.5418260727379121</v>
      </c>
      <c r="M194" s="190">
        <f t="shared" si="48"/>
        <v>0.19340884322064175</v>
      </c>
      <c r="N194" s="191">
        <f t="shared" si="49"/>
        <v>3.7352349159585536</v>
      </c>
      <c r="O194" s="190">
        <v>0</v>
      </c>
      <c r="P194" s="190">
        <v>0</v>
      </c>
      <c r="Q194" s="190">
        <v>0</v>
      </c>
      <c r="R194" s="191">
        <f t="shared" si="50"/>
        <v>3.7352349159585536</v>
      </c>
    </row>
    <row r="195" spans="1:18" x14ac:dyDescent="0.2">
      <c r="A195" s="148">
        <v>8</v>
      </c>
      <c r="B195" s="183">
        <f t="shared" si="45"/>
        <v>44774</v>
      </c>
      <c r="C195" s="203">
        <f t="shared" si="58"/>
        <v>44809</v>
      </c>
      <c r="D195" s="203">
        <f t="shared" si="58"/>
        <v>44827</v>
      </c>
      <c r="E195" s="54" t="s">
        <v>59</v>
      </c>
      <c r="F195" s="148">
        <v>9</v>
      </c>
      <c r="G195" s="185">
        <v>50</v>
      </c>
      <c r="H195" s="186">
        <f t="shared" si="46"/>
        <v>1.0368952256941935</v>
      </c>
      <c r="I195" s="186">
        <f t="shared" si="57"/>
        <v>1.105007265554538</v>
      </c>
      <c r="J195" s="187">
        <f t="shared" si="47"/>
        <v>55.250363277726898</v>
      </c>
      <c r="K195" s="194">
        <f t="shared" si="41"/>
        <v>51.844761284709676</v>
      </c>
      <c r="L195" s="193">
        <f t="shared" si="59"/>
        <v>3.4056019930172212</v>
      </c>
      <c r="M195" s="190">
        <f t="shared" si="48"/>
        <v>0.1859700415583094</v>
      </c>
      <c r="N195" s="191">
        <f t="shared" si="49"/>
        <v>3.5915720345755306</v>
      </c>
      <c r="O195" s="190">
        <v>0</v>
      </c>
      <c r="P195" s="190">
        <v>0</v>
      </c>
      <c r="Q195" s="190">
        <v>0</v>
      </c>
      <c r="R195" s="191">
        <f t="shared" si="50"/>
        <v>3.5915720345755306</v>
      </c>
    </row>
    <row r="196" spans="1:18" x14ac:dyDescent="0.2">
      <c r="A196" s="148">
        <v>9</v>
      </c>
      <c r="B196" s="183">
        <f t="shared" si="45"/>
        <v>44805</v>
      </c>
      <c r="C196" s="203">
        <f t="shared" si="58"/>
        <v>44839</v>
      </c>
      <c r="D196" s="203">
        <f t="shared" si="58"/>
        <v>44859</v>
      </c>
      <c r="E196" s="54" t="s">
        <v>59</v>
      </c>
      <c r="F196" s="148">
        <v>9</v>
      </c>
      <c r="G196" s="185">
        <v>47</v>
      </c>
      <c r="H196" s="186">
        <f t="shared" si="46"/>
        <v>1.0368952256941935</v>
      </c>
      <c r="I196" s="186">
        <f t="shared" si="57"/>
        <v>1.105007265554538</v>
      </c>
      <c r="J196" s="187">
        <f t="shared" si="47"/>
        <v>51.935341481063283</v>
      </c>
      <c r="K196" s="194">
        <f t="shared" si="41"/>
        <v>48.734075607627091</v>
      </c>
      <c r="L196" s="193">
        <f t="shared" si="59"/>
        <v>3.2012658734361921</v>
      </c>
      <c r="M196" s="190">
        <f t="shared" si="48"/>
        <v>0.17481183906481085</v>
      </c>
      <c r="N196" s="191">
        <f t="shared" si="49"/>
        <v>3.3760777125010031</v>
      </c>
      <c r="O196" s="190">
        <v>0</v>
      </c>
      <c r="P196" s="190">
        <v>0</v>
      </c>
      <c r="Q196" s="190">
        <v>0</v>
      </c>
      <c r="R196" s="191">
        <f t="shared" si="50"/>
        <v>3.3760777125010031</v>
      </c>
    </row>
    <row r="197" spans="1:18" x14ac:dyDescent="0.2">
      <c r="A197" s="112">
        <v>10</v>
      </c>
      <c r="B197" s="183">
        <f t="shared" si="45"/>
        <v>44835</v>
      </c>
      <c r="C197" s="203">
        <f t="shared" si="58"/>
        <v>44868</v>
      </c>
      <c r="D197" s="203">
        <f t="shared" si="58"/>
        <v>44888</v>
      </c>
      <c r="E197" s="54" t="s">
        <v>59</v>
      </c>
      <c r="F197" s="148">
        <v>9</v>
      </c>
      <c r="G197" s="185">
        <v>35</v>
      </c>
      <c r="H197" s="186">
        <f t="shared" si="46"/>
        <v>1.0368952256941935</v>
      </c>
      <c r="I197" s="186">
        <f t="shared" si="57"/>
        <v>1.105007265554538</v>
      </c>
      <c r="J197" s="187">
        <f t="shared" si="47"/>
        <v>38.67525429440883</v>
      </c>
      <c r="K197" s="194">
        <f t="shared" si="41"/>
        <v>36.291332899296769</v>
      </c>
      <c r="L197" s="193">
        <f t="shared" si="59"/>
        <v>2.3839213951120612</v>
      </c>
      <c r="M197" s="190">
        <f t="shared" si="48"/>
        <v>0.13017902909081658</v>
      </c>
      <c r="N197" s="191">
        <f t="shared" si="49"/>
        <v>2.5141004242028777</v>
      </c>
      <c r="O197" s="190">
        <v>0</v>
      </c>
      <c r="P197" s="190">
        <v>0</v>
      </c>
      <c r="Q197" s="190">
        <v>0</v>
      </c>
      <c r="R197" s="191">
        <f t="shared" si="50"/>
        <v>2.5141004242028777</v>
      </c>
    </row>
    <row r="198" spans="1:18" x14ac:dyDescent="0.2">
      <c r="A198" s="148">
        <v>11</v>
      </c>
      <c r="B198" s="183">
        <f t="shared" si="45"/>
        <v>44866</v>
      </c>
      <c r="C198" s="203">
        <f t="shared" si="58"/>
        <v>44900</v>
      </c>
      <c r="D198" s="203">
        <f t="shared" si="58"/>
        <v>44918</v>
      </c>
      <c r="E198" s="54" t="s">
        <v>59</v>
      </c>
      <c r="F198" s="148">
        <v>9</v>
      </c>
      <c r="G198" s="185">
        <v>34</v>
      </c>
      <c r="H198" s="186">
        <f t="shared" si="46"/>
        <v>1.0368952256941935</v>
      </c>
      <c r="I198" s="186">
        <f t="shared" si="57"/>
        <v>1.105007265554538</v>
      </c>
      <c r="J198" s="187">
        <f t="shared" si="47"/>
        <v>37.57024702885429</v>
      </c>
      <c r="K198" s="194">
        <f t="shared" ref="K198:K209" si="60">+$G198*H198</f>
        <v>35.254437673602581</v>
      </c>
      <c r="L198" s="193">
        <f t="shared" si="59"/>
        <v>2.3158093552517087</v>
      </c>
      <c r="M198" s="190">
        <f t="shared" si="48"/>
        <v>0.1264596282596504</v>
      </c>
      <c r="N198" s="191">
        <f t="shared" si="49"/>
        <v>2.4422689835113589</v>
      </c>
      <c r="O198" s="190">
        <v>0</v>
      </c>
      <c r="P198" s="190">
        <v>0</v>
      </c>
      <c r="Q198" s="190">
        <v>0</v>
      </c>
      <c r="R198" s="191">
        <f t="shared" si="50"/>
        <v>2.4422689835113589</v>
      </c>
    </row>
    <row r="199" spans="1:18" s="207" customFormat="1" x14ac:dyDescent="0.2">
      <c r="A199" s="148">
        <v>12</v>
      </c>
      <c r="B199" s="205">
        <f t="shared" si="45"/>
        <v>44896</v>
      </c>
      <c r="C199" s="203">
        <f t="shared" si="58"/>
        <v>44930</v>
      </c>
      <c r="D199" s="203">
        <f t="shared" si="58"/>
        <v>44950</v>
      </c>
      <c r="E199" s="206" t="s">
        <v>59</v>
      </c>
      <c r="F199" s="159">
        <v>9</v>
      </c>
      <c r="G199" s="185">
        <v>34</v>
      </c>
      <c r="H199" s="195">
        <f t="shared" si="46"/>
        <v>1.0368952256941935</v>
      </c>
      <c r="I199" s="195">
        <f t="shared" si="57"/>
        <v>1.105007265554538</v>
      </c>
      <c r="J199" s="196">
        <f t="shared" si="47"/>
        <v>37.57024702885429</v>
      </c>
      <c r="K199" s="197">
        <f t="shared" si="60"/>
        <v>35.254437673602581</v>
      </c>
      <c r="L199" s="198">
        <f t="shared" si="59"/>
        <v>2.3158093552517087</v>
      </c>
      <c r="M199" s="190">
        <f t="shared" si="48"/>
        <v>0.1264596282596504</v>
      </c>
      <c r="N199" s="191">
        <f t="shared" si="49"/>
        <v>2.4422689835113589</v>
      </c>
      <c r="O199" s="190">
        <v>0</v>
      </c>
      <c r="P199" s="190">
        <v>0</v>
      </c>
      <c r="Q199" s="190">
        <v>0</v>
      </c>
      <c r="R199" s="191">
        <f t="shared" si="50"/>
        <v>2.4422689835113589</v>
      </c>
    </row>
    <row r="200" spans="1:18" x14ac:dyDescent="0.2">
      <c r="A200" s="112">
        <v>1</v>
      </c>
      <c r="B200" s="183">
        <f t="shared" si="45"/>
        <v>44562</v>
      </c>
      <c r="C200" s="200">
        <f t="shared" si="58"/>
        <v>44595</v>
      </c>
      <c r="D200" s="200">
        <f t="shared" si="58"/>
        <v>44615</v>
      </c>
      <c r="E200" s="184" t="s">
        <v>17</v>
      </c>
      <c r="F200" s="112">
        <v>9</v>
      </c>
      <c r="G200" s="185">
        <v>106</v>
      </c>
      <c r="H200" s="186">
        <f t="shared" si="46"/>
        <v>1.0368952256941935</v>
      </c>
      <c r="I200" s="186">
        <f t="shared" si="57"/>
        <v>1.105007265554538</v>
      </c>
      <c r="J200" s="187">
        <f t="shared" si="47"/>
        <v>117.13077014878102</v>
      </c>
      <c r="K200" s="188">
        <f t="shared" si="60"/>
        <v>109.91089392358451</v>
      </c>
      <c r="L200" s="189">
        <f t="shared" si="59"/>
        <v>7.219876225196515</v>
      </c>
      <c r="M200" s="190">
        <f t="shared" si="48"/>
        <v>0.39425648810361591</v>
      </c>
      <c r="N200" s="191">
        <f t="shared" si="49"/>
        <v>7.6141327133001306</v>
      </c>
      <c r="O200" s="190">
        <v>0</v>
      </c>
      <c r="P200" s="190">
        <v>0</v>
      </c>
      <c r="Q200" s="190">
        <v>0</v>
      </c>
      <c r="R200" s="191">
        <f t="shared" si="50"/>
        <v>7.6141327133001306</v>
      </c>
    </row>
    <row r="201" spans="1:18" x14ac:dyDescent="0.2">
      <c r="A201" s="148">
        <v>2</v>
      </c>
      <c r="B201" s="183">
        <f t="shared" si="45"/>
        <v>44593</v>
      </c>
      <c r="C201" s="203">
        <f t="shared" si="58"/>
        <v>44623</v>
      </c>
      <c r="D201" s="203">
        <f t="shared" si="58"/>
        <v>44642</v>
      </c>
      <c r="E201" s="192" t="s">
        <v>17</v>
      </c>
      <c r="F201" s="148">
        <v>9</v>
      </c>
      <c r="G201" s="185">
        <v>101</v>
      </c>
      <c r="H201" s="186">
        <f t="shared" si="46"/>
        <v>1.0368952256941935</v>
      </c>
      <c r="I201" s="186">
        <f t="shared" si="57"/>
        <v>1.105007265554538</v>
      </c>
      <c r="J201" s="187">
        <f t="shared" si="47"/>
        <v>111.60573382100834</v>
      </c>
      <c r="K201" s="188">
        <f t="shared" si="60"/>
        <v>104.72641779511353</v>
      </c>
      <c r="L201" s="189">
        <f t="shared" si="59"/>
        <v>6.8793160258948092</v>
      </c>
      <c r="M201" s="190">
        <f t="shared" si="48"/>
        <v>0.37565948394778498</v>
      </c>
      <c r="N201" s="191">
        <f t="shared" si="49"/>
        <v>7.2549755098425939</v>
      </c>
      <c r="O201" s="190">
        <v>0</v>
      </c>
      <c r="P201" s="190">
        <v>0</v>
      </c>
      <c r="Q201" s="190">
        <v>0</v>
      </c>
      <c r="R201" s="191">
        <f t="shared" si="50"/>
        <v>7.2549755098425939</v>
      </c>
    </row>
    <row r="202" spans="1:18" x14ac:dyDescent="0.2">
      <c r="A202" s="148">
        <v>3</v>
      </c>
      <c r="B202" s="183">
        <f t="shared" si="45"/>
        <v>44621</v>
      </c>
      <c r="C202" s="203">
        <f t="shared" si="58"/>
        <v>44656</v>
      </c>
      <c r="D202" s="203">
        <f t="shared" si="58"/>
        <v>44676</v>
      </c>
      <c r="E202" s="192" t="s">
        <v>17</v>
      </c>
      <c r="F202" s="148">
        <v>9</v>
      </c>
      <c r="G202" s="185">
        <v>97</v>
      </c>
      <c r="H202" s="186">
        <f t="shared" si="46"/>
        <v>1.0368952256941935</v>
      </c>
      <c r="I202" s="186">
        <f t="shared" si="57"/>
        <v>1.105007265554538</v>
      </c>
      <c r="J202" s="187">
        <f t="shared" si="47"/>
        <v>107.18570475879018</v>
      </c>
      <c r="K202" s="188">
        <f t="shared" si="60"/>
        <v>100.57883689233677</v>
      </c>
      <c r="L202" s="189">
        <f>+J202-K202</f>
        <v>6.6068678664534133</v>
      </c>
      <c r="M202" s="190">
        <f t="shared" si="48"/>
        <v>0.36078188062312022</v>
      </c>
      <c r="N202" s="191">
        <f t="shared" si="49"/>
        <v>6.9676497470765337</v>
      </c>
      <c r="O202" s="190">
        <v>0</v>
      </c>
      <c r="P202" s="190">
        <v>0</v>
      </c>
      <c r="Q202" s="190">
        <v>0</v>
      </c>
      <c r="R202" s="191">
        <f t="shared" si="50"/>
        <v>6.9676497470765337</v>
      </c>
    </row>
    <row r="203" spans="1:18" x14ac:dyDescent="0.2">
      <c r="A203" s="112">
        <v>4</v>
      </c>
      <c r="B203" s="183">
        <f t="shared" si="45"/>
        <v>44652</v>
      </c>
      <c r="C203" s="203">
        <f t="shared" si="58"/>
        <v>44685</v>
      </c>
      <c r="D203" s="203">
        <f t="shared" si="58"/>
        <v>44705</v>
      </c>
      <c r="E203" s="192" t="s">
        <v>17</v>
      </c>
      <c r="F203" s="148">
        <v>9</v>
      </c>
      <c r="G203" s="185">
        <v>98</v>
      </c>
      <c r="H203" s="186">
        <f t="shared" si="46"/>
        <v>1.0368952256941935</v>
      </c>
      <c r="I203" s="186">
        <f t="shared" si="57"/>
        <v>1.105007265554538</v>
      </c>
      <c r="J203" s="187">
        <f t="shared" si="47"/>
        <v>108.29071202434473</v>
      </c>
      <c r="K203" s="188">
        <f t="shared" si="60"/>
        <v>101.61573211803096</v>
      </c>
      <c r="L203" s="189">
        <f t="shared" ref="L203:L211" si="61">+J203-K203</f>
        <v>6.6749799063137658</v>
      </c>
      <c r="M203" s="190">
        <f t="shared" si="48"/>
        <v>0.36450128145428645</v>
      </c>
      <c r="N203" s="191">
        <f t="shared" si="49"/>
        <v>7.0394811877680521</v>
      </c>
      <c r="O203" s="190">
        <v>0</v>
      </c>
      <c r="P203" s="190">
        <v>0</v>
      </c>
      <c r="Q203" s="190">
        <v>0</v>
      </c>
      <c r="R203" s="191">
        <f t="shared" si="50"/>
        <v>7.0394811877680521</v>
      </c>
    </row>
    <row r="204" spans="1:18" x14ac:dyDescent="0.2">
      <c r="A204" s="148">
        <v>5</v>
      </c>
      <c r="B204" s="183">
        <f t="shared" si="45"/>
        <v>44682</v>
      </c>
      <c r="C204" s="203">
        <f t="shared" si="58"/>
        <v>44715</v>
      </c>
      <c r="D204" s="203">
        <f t="shared" si="58"/>
        <v>44735</v>
      </c>
      <c r="E204" s="54" t="s">
        <v>17</v>
      </c>
      <c r="F204" s="148">
        <v>9</v>
      </c>
      <c r="G204" s="185">
        <v>104</v>
      </c>
      <c r="H204" s="186">
        <f t="shared" si="46"/>
        <v>1.0368952256941935</v>
      </c>
      <c r="I204" s="186">
        <f t="shared" si="57"/>
        <v>1.105007265554538</v>
      </c>
      <c r="J204" s="187">
        <f t="shared" si="47"/>
        <v>114.92075561767194</v>
      </c>
      <c r="K204" s="188">
        <f t="shared" si="60"/>
        <v>107.83710347219612</v>
      </c>
      <c r="L204" s="189">
        <f t="shared" si="61"/>
        <v>7.0836521454758241</v>
      </c>
      <c r="M204" s="190">
        <f t="shared" si="48"/>
        <v>0.3868176864412835</v>
      </c>
      <c r="N204" s="191">
        <f t="shared" si="49"/>
        <v>7.4704698319171072</v>
      </c>
      <c r="O204" s="190">
        <v>0</v>
      </c>
      <c r="P204" s="190">
        <v>0</v>
      </c>
      <c r="Q204" s="190">
        <v>0</v>
      </c>
      <c r="R204" s="191">
        <f t="shared" si="50"/>
        <v>7.4704698319171072</v>
      </c>
    </row>
    <row r="205" spans="1:18" x14ac:dyDescent="0.2">
      <c r="A205" s="148">
        <v>6</v>
      </c>
      <c r="B205" s="183">
        <f t="shared" si="45"/>
        <v>44713</v>
      </c>
      <c r="C205" s="203">
        <f t="shared" si="58"/>
        <v>44747</v>
      </c>
      <c r="D205" s="203">
        <f t="shared" si="58"/>
        <v>44767</v>
      </c>
      <c r="E205" s="54" t="s">
        <v>17</v>
      </c>
      <c r="F205" s="148">
        <v>9</v>
      </c>
      <c r="G205" s="185">
        <v>115</v>
      </c>
      <c r="H205" s="186">
        <f t="shared" si="46"/>
        <v>1.0368952256941935</v>
      </c>
      <c r="I205" s="186">
        <f t="shared" si="57"/>
        <v>1.105007265554538</v>
      </c>
      <c r="J205" s="187">
        <f t="shared" si="47"/>
        <v>127.07583553877187</v>
      </c>
      <c r="K205" s="188">
        <f t="shared" si="60"/>
        <v>119.24295095483225</v>
      </c>
      <c r="L205" s="193">
        <f t="shared" si="61"/>
        <v>7.8328845839396166</v>
      </c>
      <c r="M205" s="190">
        <f t="shared" si="48"/>
        <v>0.42773109558411165</v>
      </c>
      <c r="N205" s="191">
        <f t="shared" si="49"/>
        <v>8.2606156795237276</v>
      </c>
      <c r="O205" s="190">
        <v>0</v>
      </c>
      <c r="P205" s="190">
        <v>0</v>
      </c>
      <c r="Q205" s="190">
        <v>0</v>
      </c>
      <c r="R205" s="191">
        <f t="shared" si="50"/>
        <v>8.2606156795237276</v>
      </c>
    </row>
    <row r="206" spans="1:18" x14ac:dyDescent="0.2">
      <c r="A206" s="112">
        <v>7</v>
      </c>
      <c r="B206" s="183">
        <f t="shared" si="45"/>
        <v>44743</v>
      </c>
      <c r="C206" s="203">
        <f t="shared" si="58"/>
        <v>44776</v>
      </c>
      <c r="D206" s="203">
        <f t="shared" si="58"/>
        <v>44796</v>
      </c>
      <c r="E206" s="54" t="s">
        <v>17</v>
      </c>
      <c r="F206" s="148">
        <v>9</v>
      </c>
      <c r="G206" s="185">
        <v>42</v>
      </c>
      <c r="H206" s="186">
        <f t="shared" si="46"/>
        <v>1.0368952256941935</v>
      </c>
      <c r="I206" s="186">
        <f t="shared" si="57"/>
        <v>1.105007265554538</v>
      </c>
      <c r="J206" s="187">
        <f t="shared" si="47"/>
        <v>46.410305153290594</v>
      </c>
      <c r="K206" s="194">
        <f t="shared" si="60"/>
        <v>43.549599479156129</v>
      </c>
      <c r="L206" s="193">
        <f t="shared" si="61"/>
        <v>2.860705674134465</v>
      </c>
      <c r="M206" s="190">
        <f t="shared" si="48"/>
        <v>0.15621483490897989</v>
      </c>
      <c r="N206" s="191">
        <f t="shared" si="49"/>
        <v>3.016920509043445</v>
      </c>
      <c r="O206" s="190">
        <v>0</v>
      </c>
      <c r="P206" s="190">
        <v>0</v>
      </c>
      <c r="Q206" s="190">
        <v>0</v>
      </c>
      <c r="R206" s="191">
        <f t="shared" si="50"/>
        <v>3.016920509043445</v>
      </c>
    </row>
    <row r="207" spans="1:18" x14ac:dyDescent="0.2">
      <c r="A207" s="148">
        <v>8</v>
      </c>
      <c r="B207" s="183">
        <f t="shared" si="45"/>
        <v>44774</v>
      </c>
      <c r="C207" s="203">
        <f t="shared" si="58"/>
        <v>44809</v>
      </c>
      <c r="D207" s="203">
        <f t="shared" si="58"/>
        <v>44827</v>
      </c>
      <c r="E207" s="54" t="s">
        <v>17</v>
      </c>
      <c r="F207" s="148">
        <v>9</v>
      </c>
      <c r="G207" s="185">
        <v>41</v>
      </c>
      <c r="H207" s="186">
        <f t="shared" si="46"/>
        <v>1.0368952256941935</v>
      </c>
      <c r="I207" s="186">
        <f t="shared" si="57"/>
        <v>1.105007265554538</v>
      </c>
      <c r="J207" s="187">
        <f t="shared" si="47"/>
        <v>45.30529788773606</v>
      </c>
      <c r="K207" s="194">
        <f t="shared" si="60"/>
        <v>42.512704253461933</v>
      </c>
      <c r="L207" s="193">
        <f t="shared" si="61"/>
        <v>2.7925936342741267</v>
      </c>
      <c r="M207" s="190">
        <f t="shared" si="48"/>
        <v>0.15249543407781369</v>
      </c>
      <c r="N207" s="191">
        <f t="shared" si="49"/>
        <v>2.9450890683519404</v>
      </c>
      <c r="O207" s="190">
        <v>0</v>
      </c>
      <c r="P207" s="190">
        <v>0</v>
      </c>
      <c r="Q207" s="190">
        <v>0</v>
      </c>
      <c r="R207" s="191">
        <f t="shared" si="50"/>
        <v>2.9450890683519404</v>
      </c>
    </row>
    <row r="208" spans="1:18" x14ac:dyDescent="0.2">
      <c r="A208" s="148">
        <v>9</v>
      </c>
      <c r="B208" s="183">
        <f t="shared" si="45"/>
        <v>44805</v>
      </c>
      <c r="C208" s="203">
        <f t="shared" si="58"/>
        <v>44839</v>
      </c>
      <c r="D208" s="203">
        <f t="shared" si="58"/>
        <v>44859</v>
      </c>
      <c r="E208" s="54" t="s">
        <v>17</v>
      </c>
      <c r="F208" s="148">
        <v>9</v>
      </c>
      <c r="G208" s="185">
        <v>115</v>
      </c>
      <c r="H208" s="186">
        <f t="shared" si="46"/>
        <v>1.0368952256941935</v>
      </c>
      <c r="I208" s="186">
        <f t="shared" si="57"/>
        <v>1.105007265554538</v>
      </c>
      <c r="J208" s="187">
        <f t="shared" si="47"/>
        <v>127.07583553877187</v>
      </c>
      <c r="K208" s="194">
        <f t="shared" si="60"/>
        <v>119.24295095483225</v>
      </c>
      <c r="L208" s="193">
        <f t="shared" si="61"/>
        <v>7.8328845839396166</v>
      </c>
      <c r="M208" s="190">
        <f t="shared" si="48"/>
        <v>0.42773109558411165</v>
      </c>
      <c r="N208" s="191">
        <f t="shared" si="49"/>
        <v>8.2606156795237276</v>
      </c>
      <c r="O208" s="190">
        <v>0</v>
      </c>
      <c r="P208" s="190">
        <v>0</v>
      </c>
      <c r="Q208" s="190">
        <v>0</v>
      </c>
      <c r="R208" s="191">
        <f t="shared" si="50"/>
        <v>8.2606156795237276</v>
      </c>
    </row>
    <row r="209" spans="1:18" x14ac:dyDescent="0.2">
      <c r="A209" s="112">
        <v>10</v>
      </c>
      <c r="B209" s="183">
        <f t="shared" si="45"/>
        <v>44835</v>
      </c>
      <c r="C209" s="203">
        <f t="shared" si="58"/>
        <v>44868</v>
      </c>
      <c r="D209" s="203">
        <f t="shared" si="58"/>
        <v>44888</v>
      </c>
      <c r="E209" s="54" t="s">
        <v>17</v>
      </c>
      <c r="F209" s="148">
        <v>9</v>
      </c>
      <c r="G209" s="185">
        <v>105</v>
      </c>
      <c r="H209" s="186">
        <f t="shared" si="46"/>
        <v>1.0368952256941935</v>
      </c>
      <c r="I209" s="186">
        <f t="shared" si="57"/>
        <v>1.105007265554538</v>
      </c>
      <c r="J209" s="187">
        <f t="shared" si="47"/>
        <v>116.02576288322649</v>
      </c>
      <c r="K209" s="194">
        <f t="shared" si="60"/>
        <v>108.87399869789031</v>
      </c>
      <c r="L209" s="193">
        <f t="shared" si="61"/>
        <v>7.1517641853361766</v>
      </c>
      <c r="M209" s="190">
        <f t="shared" si="48"/>
        <v>0.39053708727244979</v>
      </c>
      <c r="N209" s="191">
        <f t="shared" si="49"/>
        <v>7.5423012726086265</v>
      </c>
      <c r="O209" s="190">
        <v>0</v>
      </c>
      <c r="P209" s="190">
        <v>0</v>
      </c>
      <c r="Q209" s="190">
        <v>0</v>
      </c>
      <c r="R209" s="191">
        <f t="shared" si="50"/>
        <v>7.5423012726086265</v>
      </c>
    </row>
    <row r="210" spans="1:18" x14ac:dyDescent="0.2">
      <c r="A210" s="148">
        <v>11</v>
      </c>
      <c r="B210" s="183">
        <f t="shared" si="45"/>
        <v>44866</v>
      </c>
      <c r="C210" s="203">
        <f t="shared" si="58"/>
        <v>44900</v>
      </c>
      <c r="D210" s="203">
        <f t="shared" si="58"/>
        <v>44918</v>
      </c>
      <c r="E210" s="54" t="s">
        <v>17</v>
      </c>
      <c r="F210" s="148">
        <v>9</v>
      </c>
      <c r="G210" s="185">
        <v>104</v>
      </c>
      <c r="H210" s="186">
        <f t="shared" si="46"/>
        <v>1.0368952256941935</v>
      </c>
      <c r="I210" s="186">
        <f t="shared" si="57"/>
        <v>1.105007265554538</v>
      </c>
      <c r="J210" s="187">
        <f t="shared" si="47"/>
        <v>114.92075561767194</v>
      </c>
      <c r="K210" s="194">
        <f>+$G210*H210</f>
        <v>107.83710347219612</v>
      </c>
      <c r="L210" s="193">
        <f t="shared" si="61"/>
        <v>7.0836521454758241</v>
      </c>
      <c r="M210" s="190">
        <f t="shared" si="48"/>
        <v>0.3868176864412835</v>
      </c>
      <c r="N210" s="191">
        <f t="shared" si="49"/>
        <v>7.4704698319171072</v>
      </c>
      <c r="O210" s="190">
        <v>0</v>
      </c>
      <c r="P210" s="190">
        <v>0</v>
      </c>
      <c r="Q210" s="190">
        <v>0</v>
      </c>
      <c r="R210" s="191">
        <f t="shared" si="50"/>
        <v>7.4704698319171072</v>
      </c>
    </row>
    <row r="211" spans="1:18" s="207" customFormat="1" x14ac:dyDescent="0.2">
      <c r="A211" s="148">
        <v>12</v>
      </c>
      <c r="B211" s="205">
        <f t="shared" si="45"/>
        <v>44896</v>
      </c>
      <c r="C211" s="208">
        <f t="shared" si="58"/>
        <v>44930</v>
      </c>
      <c r="D211" s="208">
        <f t="shared" si="58"/>
        <v>44950</v>
      </c>
      <c r="E211" s="206" t="s">
        <v>17</v>
      </c>
      <c r="F211" s="159">
        <v>9</v>
      </c>
      <c r="G211" s="185">
        <v>104</v>
      </c>
      <c r="H211" s="195">
        <f t="shared" si="46"/>
        <v>1.0368952256941935</v>
      </c>
      <c r="I211" s="195">
        <f t="shared" si="57"/>
        <v>1.105007265554538</v>
      </c>
      <c r="J211" s="196">
        <f t="shared" si="47"/>
        <v>114.92075561767194</v>
      </c>
      <c r="K211" s="197">
        <f>+$G211*H211</f>
        <v>107.83710347219612</v>
      </c>
      <c r="L211" s="198">
        <f t="shared" si="61"/>
        <v>7.0836521454758241</v>
      </c>
      <c r="M211" s="196">
        <f t="shared" si="48"/>
        <v>0.3868176864412835</v>
      </c>
      <c r="N211" s="191">
        <f t="shared" si="49"/>
        <v>7.4704698319171072</v>
      </c>
      <c r="O211" s="190">
        <v>0</v>
      </c>
      <c r="P211" s="190">
        <v>0</v>
      </c>
      <c r="Q211" s="190">
        <v>0</v>
      </c>
      <c r="R211" s="191">
        <f t="shared" si="50"/>
        <v>7.4704698319171072</v>
      </c>
    </row>
    <row r="212" spans="1:18" x14ac:dyDescent="0.2">
      <c r="G212" s="213">
        <f>SUM(G20:G211)</f>
        <v>104674</v>
      </c>
      <c r="H212" s="51"/>
      <c r="I212" s="51"/>
      <c r="J212" s="51">
        <f>SUM(J20:J211)</f>
        <v>115665.53051465563</v>
      </c>
      <c r="K212" s="51">
        <f>SUM(K20:K211)</f>
        <v>108535.97085431406</v>
      </c>
      <c r="L212" s="51">
        <f>SUM(L20:L211)</f>
        <v>7129.5596603417225</v>
      </c>
      <c r="M212" s="51">
        <f>SUM(M20:M211)</f>
        <v>389.3245626014899</v>
      </c>
      <c r="N212" s="51"/>
      <c r="O212" s="51"/>
      <c r="P212" s="51">
        <f>SUM(P20:P211)</f>
        <v>0</v>
      </c>
      <c r="Q212" s="51"/>
      <c r="R212" s="214">
        <f>SUM(R20:R211)</f>
        <v>7518.8842229431966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0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ED846E2-06DE-4720-B6D8-DD6060DFDE0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21723B8-FEA8-403F-89B5-169BC97BE0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2023-05-25T11:53:32Z</cp:lastPrinted>
  <dcterms:created xsi:type="dcterms:W3CDTF">2009-09-04T18:19:13Z</dcterms:created>
  <dcterms:modified xsi:type="dcterms:W3CDTF">2023-05-25T11:53:58Z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f06838f1-b3e6-44ec-9132-89d348037b5f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{5ED846E2-06DE-4720-B6D8-DD6060DFDE06}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